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Науково-редакційний центр" sheetId="1" r:id="rId1"/>
    <sheet name="Пояснювальна до бюджету " sheetId="2" r:id="rId2"/>
    <sheet name="зп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а">#REF!</definedName>
    <definedName name="б">#REF!</definedName>
    <definedName name="в">#REF!</definedName>
    <definedName name="г">#REF!</definedName>
    <definedName name="д">#REF!</definedName>
    <definedName name="е">#REF!</definedName>
    <definedName name="є">#REF!</definedName>
    <definedName name="ж">#REF!</definedName>
    <definedName name="з">#REF!</definedName>
    <definedName name="и">#REF!</definedName>
    <definedName name="й" localSheetId="2">'зп'!$R$15</definedName>
    <definedName name="й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2">'зп'!$A$1:$Q$58</definedName>
    <definedName name="_xlnm.Print_Area" localSheetId="0">'Науково-редакційний центр'!$A$1:$H$37</definedName>
    <definedName name="_xlnm.Print_Area" localSheetId="1">'Пояснювальна до бюджету '!$A$1:$I$109</definedName>
    <definedName name="п">#REF!</definedName>
    <definedName name="т">#REF!</definedName>
    <definedName name="у" localSheetId="2">'зп'!$T$15</definedName>
    <definedName name="у">#REF!</definedName>
    <definedName name="ц" localSheetId="2">'зп'!$S$15</definedName>
    <definedName name="ц">#REF!</definedName>
    <definedName name="ь">#REF!</definedName>
    <definedName name="ю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<sst xmlns="http://schemas.openxmlformats.org/spreadsheetml/2006/main" count="286" uniqueCount="219">
  <si>
    <t>тис. грн</t>
  </si>
  <si>
    <t>КЕКВ</t>
  </si>
  <si>
    <t>Найменування видатків</t>
  </si>
  <si>
    <t>Примітки</t>
  </si>
  <si>
    <t>Сума, тис. гривень</t>
  </si>
  <si>
    <t>%</t>
  </si>
  <si>
    <t>Оплата праці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</si>
  <si>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</si>
  <si>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</si>
  <si>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</si>
  <si>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</si>
  <si>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</si>
  <si>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</si>
  <si>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</si>
  <si>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</si>
  <si>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</si>
  <si>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</si>
  <si>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</si>
  <si>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</si>
  <si>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</si>
  <si>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</si>
  <si>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</si>
  <si>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</si>
  <si>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</si>
  <si>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</si>
  <si>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</si>
  <si>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</si>
  <si>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</si>
  <si>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</si>
  <si>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</si>
  <si>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</si>
  <si>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</si>
  <si>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</si>
  <si>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</si>
  <si>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</si>
  <si>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</si>
  <si>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* - надавати по кожній КПКВ та по "Обласному пошуковому науково-редакційному центру окремо"</t>
  </si>
  <si>
    <t xml:space="preserve">на утримання установ, підпорядкованих Департаменту інформ діяльності </t>
  </si>
  <si>
    <t>Розподіл орієнтовного обсягу видатків на 2019 рік</t>
  </si>
  <si>
    <t>у тому числі</t>
  </si>
  <si>
    <t>Додаток 1</t>
  </si>
  <si>
    <t>ЗАТВЕРДЖУЮ</t>
  </si>
  <si>
    <t>з місячним фондом заробітної плати</t>
  </si>
  <si>
    <t>Директор Департаменту інформаційної діяльності та комунікацій з громадськістю Чернігівської обласної державної адміністрації</t>
  </si>
  <si>
    <t xml:space="preserve">(посада) </t>
  </si>
  <si>
    <t>(підпис керівника)</t>
  </si>
  <si>
    <t>(ініціали і прізвище)</t>
  </si>
  <si>
    <t>(число, місяць, рік)</t>
  </si>
  <si>
    <t>М.П.</t>
  </si>
  <si>
    <t>1 грудня</t>
  </si>
  <si>
    <t>Комунальний заклад "Чернігівський обласний пошуковий науково-редакційний центр" Чернігівської обласної ради</t>
  </si>
  <si>
    <t xml:space="preserve">№ з/п  </t>
  </si>
  <si>
    <t>Назва структурного підрозділу та посад</t>
  </si>
  <si>
    <t>Тариф-ний розряд</t>
  </si>
  <si>
    <t>Кількість штатних посад</t>
  </si>
  <si>
    <t>Посадовий оклад   (грн.)</t>
  </si>
  <si>
    <t>Надбавки 
(грн.)</t>
  </si>
  <si>
    <t>Доплати
(грн.)</t>
  </si>
  <si>
    <t>Фонд заробітної плати на місяць (грн.)</t>
  </si>
  <si>
    <t>Надбавка згідно пост.КМУ від 30.08.2002 р.№ 1298 - 15% (грн.)</t>
  </si>
  <si>
    <t>Надбавка згідно пост.КМУ від 30.08.2002 р.№ 1298 - 25% (грн.)</t>
  </si>
  <si>
    <t>Надбавка згідно пост.КМУ від 30.08.2002 р.№ 1298 - 30% (грн.)</t>
  </si>
  <si>
    <t>Доплата за науковий ступінь згідно пост.КМУ від 30.08.2002 р.№ 1298 - 15% (грн.)</t>
  </si>
  <si>
    <t>Директор</t>
  </si>
  <si>
    <t>Головний бухгалтер</t>
  </si>
  <si>
    <t>14-10%</t>
  </si>
  <si>
    <t xml:space="preserve">Відділ по підготовці "Книги Пам'яті" </t>
  </si>
  <si>
    <t>Заступник директора,
 завідувач відділу</t>
  </si>
  <si>
    <t>14-5%</t>
  </si>
  <si>
    <t>Редактор науковий (старший)</t>
  </si>
  <si>
    <t>Редактор науковий (молодший)</t>
  </si>
  <si>
    <t xml:space="preserve">Всього по відділу </t>
  </si>
  <si>
    <t>Відділ по підготовці  книги "Реабілітовані історією"</t>
  </si>
  <si>
    <t>Завідувач відділу</t>
  </si>
  <si>
    <t>Відділ по підготовці Чернігівського тому "Зводу пам'яток історії та культури України"</t>
  </si>
  <si>
    <t>Заступник директора,
завідувач відділу</t>
  </si>
  <si>
    <t>Редактор науковий</t>
  </si>
  <si>
    <t>Всього:</t>
  </si>
  <si>
    <t>О.М. Потапенко</t>
  </si>
  <si>
    <t>(підпис)</t>
  </si>
  <si>
    <t>М.О.Сачава</t>
  </si>
  <si>
    <t>+</t>
  </si>
  <si>
    <t>=</t>
  </si>
  <si>
    <t>ЄСВ 22%</t>
  </si>
  <si>
    <t>грн.</t>
  </si>
  <si>
    <r>
      <t xml:space="preserve">штат у кількості     </t>
    </r>
    <r>
      <rPr>
        <u val="single"/>
        <sz val="15"/>
        <rFont val="Arial Cyr"/>
        <family val="0"/>
      </rPr>
      <t xml:space="preserve">15  </t>
    </r>
    <r>
      <rPr>
        <sz val="15"/>
        <rFont val="Arial Cyr"/>
        <family val="0"/>
      </rPr>
      <t xml:space="preserve"> штатних одиниць</t>
    </r>
  </si>
  <si>
    <t>Україна</t>
  </si>
  <si>
    <t>ЧЕРНІГІВСЬКА  ОБЛАСНА  РАДА</t>
  </si>
  <si>
    <t>ПОШУКОВЕ  АГЕНСТВО</t>
  </si>
  <si>
    <t>по  створенню  науково - документальних  серіалів</t>
  </si>
  <si>
    <t>“КНИГА  ПАМ’ЯТІ”  та  “РЕАБІЛІТОВАНІ  ІСТОРІЄЮ”</t>
  </si>
  <si>
    <t>вул. Гетьмана Полуботка, 68, к.303, м. Чернігів, 14013, т. 67-51-69, код ЄДПРОУ 34018762</t>
  </si>
  <si>
    <t>Розрахунок</t>
  </si>
  <si>
    <t>Загальний фонд</t>
  </si>
  <si>
    <t>КПКВК 2318410</t>
  </si>
  <si>
    <t>Підтримка книговидання</t>
  </si>
  <si>
    <t>КЕКв 2110</t>
  </si>
  <si>
    <t>К-ть од.</t>
  </si>
  <si>
    <t>ФОП за посадовим окладом</t>
  </si>
  <si>
    <t>Доплата за наукове звання 15%</t>
  </si>
  <si>
    <t>Надбавка за складність, напруженість у роботі 30%</t>
  </si>
  <si>
    <t>Матеріальна допомога на оздоровлення</t>
  </si>
  <si>
    <t>Річний ФОП</t>
  </si>
  <si>
    <t>КЕКв 2120</t>
  </si>
  <si>
    <t>Нарахування на оплату праці</t>
  </si>
  <si>
    <t>КЕКв 2210</t>
  </si>
  <si>
    <t>Назва</t>
  </si>
  <si>
    <t>Кількість</t>
  </si>
  <si>
    <t>Ціна (грн.)</t>
  </si>
  <si>
    <t>Всього (грн.)</t>
  </si>
  <si>
    <t>Офісне устаткування та приладдя різне, канцелярські товари</t>
  </si>
  <si>
    <t>Х</t>
  </si>
  <si>
    <t>Паперові чи картонні реєстраційні журнали, бухгалтерські книги, швидкозшивачі, бланки та інші паперові канцелярські вироби</t>
  </si>
  <si>
    <t>Папір А4 (пач.)</t>
  </si>
  <si>
    <t>Системні блоки</t>
  </si>
  <si>
    <t>Джерела безперебійного живлення</t>
  </si>
  <si>
    <t>КЕКв 2240</t>
  </si>
  <si>
    <t xml:space="preserve">Послуги обслуговування банку                            </t>
  </si>
  <si>
    <t>Послуги із заправки картриджів</t>
  </si>
  <si>
    <t>Технічне обслуговування і ремонт  комп’ютерної  техніки</t>
  </si>
  <si>
    <t>Технічне обслуговування вогнегасників</t>
  </si>
  <si>
    <t>Послуги зв’язку 2 точки</t>
  </si>
  <si>
    <t>Послуги Інтернету  2 точки</t>
  </si>
  <si>
    <t>Обслуговування програми "ІСПРО"</t>
  </si>
  <si>
    <t>Страхування та оренда приміщення (0,26% від балансової вартості - 566833,32 грн.)</t>
  </si>
  <si>
    <t>Відшкодування земельного податку</t>
  </si>
  <si>
    <t>Доступ до дистрибутива "М.Е.DОС"</t>
  </si>
  <si>
    <t>Послуги обробки цифрової інформації (шт.)</t>
  </si>
  <si>
    <t>Послуги підтримки та обслуговування веб-сайту (www.memory-book.org.ua) - 1 рік</t>
  </si>
  <si>
    <t>Розрахунок витрат на утримання приміщень</t>
  </si>
  <si>
    <t>К-ть людей</t>
  </si>
  <si>
    <t>Зарбітна плата</t>
  </si>
  <si>
    <t>Загальна площа приміщення</t>
  </si>
  <si>
    <t>Площа орендова-ного приміщення</t>
  </si>
  <si>
    <t>Відкоду-вання на місяць</t>
  </si>
  <si>
    <t>ПДВ</t>
  </si>
  <si>
    <t>Усього на рік</t>
  </si>
  <si>
    <t>Охорона</t>
  </si>
  <si>
    <t>Електрик</t>
  </si>
  <si>
    <t>Прибиральниця</t>
  </si>
  <si>
    <t>Усього</t>
  </si>
  <si>
    <t>Розрахунок витрат на танспортні послуги</t>
  </si>
  <si>
    <t>Відстань (в два кінці), км</t>
  </si>
  <si>
    <t>Відстань по району, км</t>
  </si>
  <si>
    <t>К-ть поїздок</t>
  </si>
  <si>
    <t>Відстань усього, км</t>
  </si>
  <si>
    <t>Ціна за км</t>
  </si>
  <si>
    <t>Усього витрат, грн.</t>
  </si>
  <si>
    <t>Прилуцький район</t>
  </si>
  <si>
    <t>КЕКв 2282</t>
  </si>
  <si>
    <t>Навчання по пожбезпеці (люд.)</t>
  </si>
  <si>
    <t>Навчання по безпеці життєдіяльності (люд)</t>
  </si>
  <si>
    <t>КЕКв 2800</t>
  </si>
  <si>
    <t>Пеня</t>
  </si>
  <si>
    <t>КЕКв 2250</t>
  </si>
  <si>
    <t>Місце відрядження</t>
  </si>
  <si>
    <t>Кількість осіб</t>
  </si>
  <si>
    <t>Добові</t>
  </si>
  <si>
    <t>Проживання</t>
  </si>
  <si>
    <t>Проїзні квитки (автобус)</t>
  </si>
  <si>
    <t>Проїзні квитки (поїзд)</t>
  </si>
  <si>
    <t>КЕКв 2270</t>
  </si>
  <si>
    <t>КЕКв 2271</t>
  </si>
  <si>
    <t xml:space="preserve">Оплата  теплопостачання   </t>
  </si>
  <si>
    <t>КЕКв 2272</t>
  </si>
  <si>
    <t>Оплата водопостачання та водовідведення</t>
  </si>
  <si>
    <t>КЕКв 2273</t>
  </si>
  <si>
    <t xml:space="preserve">Оплата   електроенергії   </t>
  </si>
  <si>
    <t>Показник</t>
  </si>
  <si>
    <t>КЕКВ 2272 "Оплата водопостачання і водовідведення" м куб.</t>
  </si>
  <si>
    <t>КЕКВ 2273 Оплата електро-енергії"</t>
  </si>
  <si>
    <t>Тепло</t>
  </si>
  <si>
    <t>Водовід-ведення</t>
  </si>
  <si>
    <t>Розмір тарифів з ПДВ балансоутримувачам (20%), втрати в електромережі( 2,4%)</t>
  </si>
  <si>
    <t xml:space="preserve">Потреба в асигнуваннях </t>
  </si>
  <si>
    <t xml:space="preserve">Головний бухгалтер                                                                     </t>
  </si>
  <si>
    <t>М.О. Сачава</t>
  </si>
  <si>
    <t>ПОГОДЖУЮ:</t>
  </si>
  <si>
    <t>Директор Департаменту  інформаційної діяльності та комунікацій з громадськістю Чернігівської ОДА</t>
  </si>
  <si>
    <t>А.Ф. Подорван</t>
  </si>
  <si>
    <t>"____"______________2017 р.</t>
  </si>
  <si>
    <t>Розподіл орієнтовного обсягу асигнувань обласного бюджету на 2020 рік</t>
  </si>
  <si>
    <t>Уточнений план на 2019 рік (станом на 01.11.2019)</t>
  </si>
  <si>
    <t xml:space="preserve">Відхилення розподілу на 2019 рік від уточненого плану 2019 року </t>
  </si>
  <si>
    <t>Кредиторська заборгованість на 01.01.2019</t>
  </si>
  <si>
    <t>Директор комунального закладу "Чернігівський обласний пошуковий науково-редакційний центр" Чернігівської обласної ради</t>
  </si>
  <si>
    <t xml:space="preserve"> О.М. Потапенко</t>
  </si>
  <si>
    <t>"____"_________________2020 р.</t>
  </si>
  <si>
    <t>показників видатків бюджету на 2020 рік</t>
  </si>
  <si>
    <t>Книга "Реабілітовані історією Чернігівська область. Книга 8"</t>
  </si>
  <si>
    <t>Стільці</t>
  </si>
  <si>
    <t>Передплата періодичних видань - річна ( «Кадровик-01»)</t>
  </si>
  <si>
    <t>Передплата електронних періодичних видань - річна («Кадровик»)</t>
  </si>
  <si>
    <t>Відшкодування витрат на утримання приміщень</t>
  </si>
  <si>
    <t>Послуги комп’ютерної верстки книги "Реабілітовані історією Чернігівська область. Книга 8"</t>
  </si>
  <si>
    <t>КЕКв 2275</t>
  </si>
  <si>
    <t>КЕКв 2271 "Оплата тепло-постачання"</t>
  </si>
  <si>
    <t>КЕКВ 2275</t>
  </si>
  <si>
    <t>Водопостачання</t>
  </si>
  <si>
    <t>Ліміт споживання на 2020 рік</t>
  </si>
  <si>
    <t xml:space="preserve">Розмір діючих тарифів станом на 01.10.2019 р. </t>
  </si>
  <si>
    <t xml:space="preserve">Розмір тарифів з урахуванням коригуючого коефіцієнта </t>
  </si>
  <si>
    <t>І. І. Слезко</t>
  </si>
  <si>
    <t>Штатний розпис</t>
  </si>
  <si>
    <t>на 2020 рік</t>
  </si>
  <si>
    <t>Надбавка згідно пост.КМУ від 30.08.2002 р.№ 1298 - 40% (грн.)</t>
  </si>
  <si>
    <t>Надбавка згідно пост.КМУ від 30.08.2002 р.№ 1298 - 45% (грн.)</t>
  </si>
  <si>
    <t>Потреба на 2020 рік (річний ФОП + матеріальна допомога на оздоровлення)</t>
  </si>
  <si>
    <t>Надбавка за складність, напруженість у роботі 40%</t>
  </si>
  <si>
    <t>Надбавка за складність, напруженість у роботі 45%</t>
  </si>
  <si>
    <t>Послуги комп’ютерної верстки книги "Звід пам’яток історії та культури України. Чернігівська область. Срібнянський район."</t>
  </si>
  <si>
    <t>за КПКВ 2318410 КЗ "Чернігівський обласний пошуковий науково-редакційний центр"</t>
  </si>
  <si>
    <t>Книга "Звід пам’яток історії та культури України. Чернігівська область. Срібнянський район."</t>
  </si>
  <si>
    <t>Компʼютерні комплектуючі (клавіатури, мишки, жорсткий диск)</t>
  </si>
  <si>
    <t>Транспортні послуги з метою обстеження пам’яток  історії та культури (Ічнянський район, Прилуцький район), км</t>
  </si>
  <si>
    <t>Ічнянський рйон</t>
  </si>
  <si>
    <t>Оплата інших енергоносіїв та інших комунальних послуг</t>
  </si>
  <si>
    <t>У 2020 році  витрати збільшились у звязку з тим, що Книга "Реабілітовані історією" більш об'ємна за кількістю сторінок та більш вартісна обкладинка ніж книга "Перша світова" у 2019 році</t>
  </si>
  <si>
    <t>У 2020 році  витрати збільшились у зв'язку зі збільшенням витрат на утримання приміщень (відшкодуванням земельного податку, підняттям заробітної плати обслуговуючому персоналу)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</si>
</sst>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[Red]\-#,##0\ &quot;грн.&quot;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#,##0.00\ [$грн.-422];[Red]\-#,##0.00\ [$грн.-422]"/>
    <numFmt numFmtId="179" formatCode="0.0%"/>
  </numFmts>
  <fonts count="62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20"/>
      <name val="Times New Roman"/>
      <family val="1"/>
    </font>
    <font>
      <u val="single"/>
      <sz val="15"/>
      <name val="Arial Cyr"/>
      <family val="0"/>
    </font>
    <font>
      <sz val="15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name val="Arial"/>
      <family val="2"/>
    </font>
    <font>
      <b/>
      <sz val="22"/>
      <name val="Times New Roman"/>
      <family val="1"/>
    </font>
    <font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0" fillId="3" borderId="0" applyNumberFormat="0" applyBorder="0" applyAlignment="0" applyProtection="0"/>
    <xf numFmtId="0" fontId="1" fillId="4" borderId="0" applyNumberFormat="0" applyBorder="0" applyAlignment="0" applyProtection="0"/>
    <xf numFmtId="0" fontId="60" fillId="5" borderId="0" applyNumberFormat="0" applyBorder="0" applyAlignment="0" applyProtection="0"/>
    <xf numFmtId="0" fontId="1" fillId="6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60" fillId="9" borderId="0" applyNumberFormat="0" applyBorder="0" applyAlignment="0" applyProtection="0"/>
    <xf numFmtId="0" fontId="1" fillId="10" borderId="0" applyNumberFormat="0" applyBorder="0" applyAlignment="0" applyProtection="0"/>
    <xf numFmtId="0" fontId="60" fillId="11" borderId="0" applyNumberFormat="0" applyBorder="0" applyAlignment="0" applyProtection="0"/>
    <xf numFmtId="0" fontId="1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60" fillId="20" borderId="0" applyNumberFormat="0" applyBorder="0" applyAlignment="0" applyProtection="0"/>
    <xf numFmtId="0" fontId="1" fillId="14" borderId="0" applyNumberFormat="0" applyBorder="0" applyAlignment="0" applyProtection="0"/>
    <xf numFmtId="0" fontId="60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2" fillId="24" borderId="0" applyNumberFormat="0" applyBorder="0" applyAlignment="0" applyProtection="0"/>
    <xf numFmtId="0" fontId="61" fillId="25" borderId="0" applyNumberFormat="0" applyBorder="0" applyAlignment="0" applyProtection="0"/>
    <xf numFmtId="0" fontId="2" fillId="16" borderId="0" applyNumberFormat="0" applyBorder="0" applyAlignment="0" applyProtection="0"/>
    <xf numFmtId="0" fontId="61" fillId="26" borderId="0" applyNumberFormat="0" applyBorder="0" applyAlignment="0" applyProtection="0"/>
    <xf numFmtId="0" fontId="2" fillId="18" borderId="0" applyNumberFormat="0" applyBorder="0" applyAlignment="0" applyProtection="0"/>
    <xf numFmtId="0" fontId="61" fillId="27" borderId="0" applyNumberFormat="0" applyBorder="0" applyAlignment="0" applyProtection="0"/>
    <xf numFmtId="0" fontId="2" fillId="28" borderId="0" applyNumberFormat="0" applyBorder="0" applyAlignment="0" applyProtection="0"/>
    <xf numFmtId="0" fontId="61" fillId="29" borderId="0" applyNumberFormat="0" applyBorder="0" applyAlignment="0" applyProtection="0"/>
    <xf numFmtId="0" fontId="2" fillId="30" borderId="0" applyNumberFormat="0" applyBorder="0" applyAlignment="0" applyProtection="0"/>
    <xf numFmtId="0" fontId="61" fillId="31" borderId="0" applyNumberFormat="0" applyBorder="0" applyAlignment="0" applyProtection="0"/>
    <xf numFmtId="0" fontId="2" fillId="32" borderId="0" applyNumberFormat="0" applyBorder="0" applyAlignment="0" applyProtection="0"/>
    <xf numFmtId="0" fontId="6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left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6" borderId="11" xfId="0" applyFont="1" applyFill="1" applyBorder="1" applyAlignment="1">
      <alignment horizontal="center" vertical="center" wrapText="1"/>
    </xf>
    <xf numFmtId="2" fontId="22" fillId="6" borderId="11" xfId="0" applyNumberFormat="1" applyFont="1" applyFill="1" applyBorder="1" applyAlignment="1">
      <alignment horizontal="left" vertical="center" wrapText="1"/>
    </xf>
    <xf numFmtId="177" fontId="24" fillId="6" borderId="11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wrapText="1"/>
    </xf>
    <xf numFmtId="177" fontId="0" fillId="6" borderId="11" xfId="0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>
      <alignment wrapText="1"/>
    </xf>
    <xf numFmtId="177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0" fillId="0" borderId="0" xfId="0" applyNumberFormat="1" applyAlignment="1">
      <alignment wrapText="1"/>
    </xf>
    <xf numFmtId="0" fontId="0" fillId="6" borderId="0" xfId="0" applyFont="1" applyFill="1" applyAlignment="1">
      <alignment wrapText="1"/>
    </xf>
    <xf numFmtId="2" fontId="24" fillId="6" borderId="11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22" fillId="6" borderId="0" xfId="0" applyFont="1" applyFill="1" applyAlignment="1">
      <alignment wrapText="1"/>
    </xf>
    <xf numFmtId="0" fontId="28" fillId="0" borderId="0" xfId="0" applyFont="1" applyAlignment="1">
      <alignment horizontal="center" wrapText="1"/>
    </xf>
    <xf numFmtId="0" fontId="26" fillId="0" borderId="11" xfId="73" applyFont="1" applyFill="1" applyBorder="1" applyAlignment="1">
      <alignment horizontal="center" vertical="center" wrapText="1"/>
      <protection/>
    </xf>
    <xf numFmtId="0" fontId="26" fillId="0" borderId="11" xfId="73" applyFont="1" applyFill="1" applyBorder="1" applyAlignment="1">
      <alignment horizontal="center" vertical="top" wrapText="1"/>
      <protection/>
    </xf>
    <xf numFmtId="0" fontId="0" fillId="0" borderId="0" xfId="73" applyFont="1" applyFill="1">
      <alignment/>
      <protection/>
    </xf>
    <xf numFmtId="0" fontId="30" fillId="0" borderId="0" xfId="73">
      <alignment/>
      <protection/>
    </xf>
    <xf numFmtId="0" fontId="26" fillId="0" borderId="11" xfId="73" applyFont="1" applyFill="1" applyBorder="1" applyAlignment="1">
      <alignment horizontal="left" vertical="top" wrapText="1"/>
      <protection/>
    </xf>
    <xf numFmtId="0" fontId="30" fillId="0" borderId="0" xfId="73" applyFont="1" applyFill="1">
      <alignment/>
      <protection/>
    </xf>
    <xf numFmtId="0" fontId="46" fillId="0" borderId="0" xfId="73" applyFont="1" applyFill="1">
      <alignment/>
      <protection/>
    </xf>
    <xf numFmtId="0" fontId="46" fillId="0" borderId="11" xfId="73" applyFont="1" applyFill="1" applyBorder="1" applyAlignment="1">
      <alignment vertical="top" wrapText="1"/>
      <protection/>
    </xf>
    <xf numFmtId="0" fontId="22" fillId="0" borderId="0" xfId="73" applyFont="1" applyFill="1">
      <alignment/>
      <protection/>
    </xf>
    <xf numFmtId="1" fontId="20" fillId="0" borderId="12" xfId="73" applyNumberFormat="1" applyFont="1" applyFill="1" applyBorder="1" applyAlignment="1">
      <alignment horizontal="center" vertical="center" wrapText="1"/>
      <protection/>
    </xf>
    <xf numFmtId="2" fontId="0" fillId="0" borderId="0" xfId="73" applyNumberFormat="1" applyFont="1" applyFill="1">
      <alignment/>
      <protection/>
    </xf>
    <xf numFmtId="0" fontId="46" fillId="0" borderId="13" xfId="73" applyFont="1" applyFill="1" applyBorder="1" applyAlignment="1">
      <alignment vertical="top" wrapText="1"/>
      <protection/>
    </xf>
    <xf numFmtId="0" fontId="52" fillId="0" borderId="14" xfId="73" applyFont="1" applyFill="1" applyBorder="1" applyAlignment="1">
      <alignment vertical="top" wrapText="1"/>
      <protection/>
    </xf>
    <xf numFmtId="0" fontId="52" fillId="0" borderId="0" xfId="73" applyFont="1" applyFill="1" applyBorder="1" applyAlignment="1">
      <alignment horizontal="right" vertical="top" wrapText="1"/>
      <protection/>
    </xf>
    <xf numFmtId="0" fontId="0" fillId="0" borderId="0" xfId="73" applyFont="1" applyFill="1" applyBorder="1">
      <alignment/>
      <protection/>
    </xf>
    <xf numFmtId="0" fontId="52" fillId="0" borderId="0" xfId="73" applyFont="1" applyFill="1">
      <alignment/>
      <protection/>
    </xf>
    <xf numFmtId="0" fontId="26" fillId="0" borderId="11" xfId="73" applyFont="1" applyFill="1" applyBorder="1" applyAlignment="1">
      <alignment horizontal="right" vertical="center" wrapText="1"/>
      <protection/>
    </xf>
    <xf numFmtId="0" fontId="26" fillId="0" borderId="0" xfId="73" applyFont="1" applyFill="1" applyBorder="1" applyAlignment="1">
      <alignment horizontal="left" vertical="top" wrapText="1"/>
      <protection/>
    </xf>
    <xf numFmtId="0" fontId="26" fillId="0" borderId="0" xfId="73" applyFont="1" applyFill="1" applyBorder="1" applyAlignment="1">
      <alignment horizontal="center" vertical="top" wrapText="1"/>
      <protection/>
    </xf>
    <xf numFmtId="0" fontId="26" fillId="0" borderId="0" xfId="73" applyFont="1" applyFill="1" applyBorder="1" applyAlignment="1">
      <alignment horizontal="right" vertical="top" wrapText="1"/>
      <protection/>
    </xf>
    <xf numFmtId="0" fontId="53" fillId="0" borderId="0" xfId="73" applyFont="1" applyFill="1" applyAlignment="1">
      <alignment horizontal="justify"/>
      <protection/>
    </xf>
    <xf numFmtId="0" fontId="26" fillId="0" borderId="11" xfId="73" applyFont="1" applyFill="1" applyBorder="1" applyAlignment="1">
      <alignment vertical="top" wrapText="1"/>
      <protection/>
    </xf>
    <xf numFmtId="0" fontId="26" fillId="0" borderId="11" xfId="73" applyFont="1" applyFill="1" applyBorder="1" applyAlignment="1">
      <alignment horizontal="right" vertical="top" wrapText="1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0" fontId="20" fillId="0" borderId="11" xfId="73" applyFont="1" applyFill="1" applyBorder="1" applyAlignment="1">
      <alignment horizontal="left" vertical="top" wrapText="1"/>
      <protection/>
    </xf>
    <xf numFmtId="2" fontId="26" fillId="0" borderId="11" xfId="73" applyNumberFormat="1" applyFont="1" applyFill="1" applyBorder="1" applyAlignment="1">
      <alignment horizontal="center" vertical="top" wrapText="1"/>
      <protection/>
    </xf>
    <xf numFmtId="0" fontId="21" fillId="0" borderId="11" xfId="73" applyFont="1" applyFill="1" applyBorder="1" applyAlignment="1">
      <alignment horizontal="left" vertical="top" wrapText="1"/>
      <protection/>
    </xf>
    <xf numFmtId="0" fontId="22" fillId="0" borderId="11" xfId="73" applyFont="1" applyFill="1" applyBorder="1" applyAlignment="1">
      <alignment horizontal="left" vertical="top" wrapText="1"/>
      <protection/>
    </xf>
    <xf numFmtId="0" fontId="22" fillId="0" borderId="11" xfId="73" applyFont="1" applyFill="1" applyBorder="1" applyAlignment="1">
      <alignment horizontal="center" vertical="top" wrapText="1"/>
      <protection/>
    </xf>
    <xf numFmtId="0" fontId="22" fillId="0" borderId="11" xfId="73" applyFont="1" applyFill="1" applyBorder="1" applyAlignment="1">
      <alignment horizontal="right" vertical="top" wrapText="1"/>
      <protection/>
    </xf>
    <xf numFmtId="0" fontId="21" fillId="0" borderId="0" xfId="73" applyFont="1" applyFill="1" applyBorder="1" applyAlignment="1">
      <alignment horizontal="left" vertical="top" wrapText="1"/>
      <protection/>
    </xf>
    <xf numFmtId="0" fontId="22" fillId="0" borderId="0" xfId="73" applyFont="1" applyFill="1" applyBorder="1" applyAlignment="1">
      <alignment horizontal="left" vertical="top" wrapText="1"/>
      <protection/>
    </xf>
    <xf numFmtId="0" fontId="22" fillId="0" borderId="0" xfId="73" applyFont="1" applyFill="1" applyBorder="1" applyAlignment="1">
      <alignment horizontal="center" vertical="top" wrapText="1"/>
      <protection/>
    </xf>
    <xf numFmtId="0" fontId="22" fillId="0" borderId="0" xfId="73" applyFont="1" applyFill="1" applyBorder="1" applyAlignment="1">
      <alignment horizontal="right" vertical="top" wrapText="1"/>
      <protection/>
    </xf>
    <xf numFmtId="0" fontId="0" fillId="0" borderId="11" xfId="73" applyFont="1" applyFill="1" applyBorder="1" applyAlignment="1">
      <alignment horizontal="center" vertical="top" wrapText="1"/>
      <protection/>
    </xf>
    <xf numFmtId="0" fontId="38" fillId="0" borderId="0" xfId="73" applyFont="1" applyFill="1" applyAlignment="1">
      <alignment horizontal="justify"/>
      <protection/>
    </xf>
    <xf numFmtId="0" fontId="52" fillId="0" borderId="0" xfId="73" applyFont="1" applyFill="1" applyAlignment="1">
      <alignment horizontal="justify"/>
      <protection/>
    </xf>
    <xf numFmtId="172" fontId="30" fillId="0" borderId="0" xfId="73" applyNumberFormat="1" applyFont="1" applyFill="1">
      <alignment/>
      <protection/>
    </xf>
    <xf numFmtId="0" fontId="26" fillId="0" borderId="0" xfId="73" applyFont="1" applyFill="1">
      <alignment/>
      <protection/>
    </xf>
    <xf numFmtId="0" fontId="46" fillId="0" borderId="11" xfId="73" applyFont="1" applyFill="1" applyBorder="1">
      <alignment/>
      <protection/>
    </xf>
    <xf numFmtId="0" fontId="0" fillId="0" borderId="11" xfId="73" applyFont="1" applyFill="1" applyBorder="1">
      <alignment/>
      <protection/>
    </xf>
    <xf numFmtId="0" fontId="56" fillId="0" borderId="0" xfId="73" applyFont="1" applyFill="1" applyAlignment="1">
      <alignment horizontal="justify"/>
      <protection/>
    </xf>
    <xf numFmtId="0" fontId="46" fillId="0" borderId="0" xfId="73" applyFont="1" applyFill="1" applyAlignment="1">
      <alignment horizontal="justify"/>
      <protection/>
    </xf>
    <xf numFmtId="2" fontId="26" fillId="0" borderId="11" xfId="73" applyNumberFormat="1" applyFont="1" applyFill="1" applyBorder="1" applyAlignment="1">
      <alignment wrapText="1"/>
      <protection/>
    </xf>
    <xf numFmtId="0" fontId="24" fillId="0" borderId="0" xfId="73" applyFont="1" applyFill="1">
      <alignment/>
      <protection/>
    </xf>
    <xf numFmtId="0" fontId="57" fillId="0" borderId="0" xfId="73" applyFont="1" applyFill="1">
      <alignment/>
      <protection/>
    </xf>
    <xf numFmtId="0" fontId="39" fillId="0" borderId="0" xfId="73" applyFont="1" applyFill="1">
      <alignment/>
      <protection/>
    </xf>
    <xf numFmtId="0" fontId="58" fillId="0" borderId="0" xfId="73" applyFont="1" applyFill="1" applyAlignment="1">
      <alignment wrapText="1"/>
      <protection/>
    </xf>
    <xf numFmtId="0" fontId="58" fillId="0" borderId="0" xfId="73" applyFont="1" applyFill="1" applyAlignment="1">
      <alignment horizontal="center" wrapText="1"/>
      <protection/>
    </xf>
    <xf numFmtId="0" fontId="58" fillId="0" borderId="0" xfId="73" applyFont="1" applyFill="1" applyAlignment="1">
      <alignment horizontal="left" wrapText="1"/>
      <protection/>
    </xf>
    <xf numFmtId="0" fontId="30" fillId="0" borderId="0" xfId="73" applyFont="1" applyFill="1" applyAlignment="1">
      <alignment horizontal="center" wrapText="1"/>
      <protection/>
    </xf>
    <xf numFmtId="0" fontId="30" fillId="0" borderId="0" xfId="73" applyFont="1" applyFill="1" applyAlignment="1">
      <alignment wrapText="1"/>
      <protection/>
    </xf>
    <xf numFmtId="0" fontId="30" fillId="0" borderId="0" xfId="73" applyFont="1" applyFill="1" applyAlignment="1">
      <alignment horizontal="center"/>
      <protection/>
    </xf>
    <xf numFmtId="0" fontId="58" fillId="0" borderId="0" xfId="73" applyFont="1" applyFill="1">
      <alignment/>
      <protection/>
    </xf>
    <xf numFmtId="0" fontId="58" fillId="0" borderId="0" xfId="73" applyFont="1" applyFill="1" applyAlignment="1">
      <alignment horizontal="center"/>
      <protection/>
    </xf>
    <xf numFmtId="0" fontId="30" fillId="0" borderId="0" xfId="73" applyFont="1">
      <alignment/>
      <protection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6" fillId="0" borderId="1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38" fillId="0" borderId="0" xfId="0" applyFont="1" applyBorder="1" applyAlignment="1">
      <alignment horizontal="left" indent="15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5"/>
    </xf>
    <xf numFmtId="0" fontId="30" fillId="0" borderId="0" xfId="0" applyFont="1" applyBorder="1" applyAlignment="1">
      <alignment/>
    </xf>
    <xf numFmtId="2" fontId="30" fillId="0" borderId="0" xfId="73" applyNumberFormat="1" applyFont="1" applyFill="1">
      <alignment/>
      <protection/>
    </xf>
    <xf numFmtId="2" fontId="26" fillId="0" borderId="11" xfId="73" applyNumberFormat="1" applyFont="1" applyFill="1" applyBorder="1" applyAlignment="1">
      <alignment horizontal="left" vertical="top" wrapText="1"/>
      <protection/>
    </xf>
    <xf numFmtId="2" fontId="22" fillId="0" borderId="11" xfId="73" applyNumberFormat="1" applyFont="1" applyFill="1" applyBorder="1" applyAlignment="1">
      <alignment horizontal="center" vertical="top" wrapText="1"/>
      <protection/>
    </xf>
    <xf numFmtId="0" fontId="25" fillId="0" borderId="11" xfId="73" applyFont="1" applyFill="1" applyBorder="1" applyAlignment="1">
      <alignment horizontal="center" vertical="top" wrapText="1"/>
      <protection/>
    </xf>
    <xf numFmtId="0" fontId="25" fillId="0" borderId="11" xfId="73" applyFont="1" applyFill="1" applyBorder="1" applyAlignment="1">
      <alignment vertical="top" wrapText="1"/>
      <protection/>
    </xf>
    <xf numFmtId="0" fontId="0" fillId="0" borderId="11" xfId="73" applyFont="1" applyFill="1" applyBorder="1" applyAlignment="1">
      <alignment vertical="center" wrapText="1"/>
      <protection/>
    </xf>
    <xf numFmtId="2" fontId="22" fillId="0" borderId="11" xfId="73" applyNumberFormat="1" applyFont="1" applyFill="1" applyBorder="1" applyAlignment="1">
      <alignment horizontal="center" shrinkToFit="1"/>
      <protection/>
    </xf>
    <xf numFmtId="2" fontId="22" fillId="0" borderId="11" xfId="73" applyNumberFormat="1" applyFont="1" applyFill="1" applyBorder="1" applyAlignment="1">
      <alignment wrapText="1"/>
      <protection/>
    </xf>
    <xf numFmtId="2" fontId="22" fillId="0" borderId="11" xfId="73" applyNumberFormat="1" applyFont="1" applyFill="1" applyBorder="1" applyAlignment="1">
      <alignment shrinkToFit="1"/>
      <protection/>
    </xf>
    <xf numFmtId="0" fontId="46" fillId="0" borderId="11" xfId="0" applyFont="1" applyFill="1" applyBorder="1" applyAlignment="1">
      <alignment vertical="top" wrapText="1"/>
    </xf>
    <xf numFmtId="172" fontId="46" fillId="0" borderId="11" xfId="0" applyNumberFormat="1" applyFont="1" applyFill="1" applyBorder="1" applyAlignment="1">
      <alignment vertical="top" wrapText="1"/>
    </xf>
    <xf numFmtId="172" fontId="4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9" fillId="0" borderId="13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right" vertical="top" wrapText="1"/>
    </xf>
    <xf numFmtId="0" fontId="33" fillId="0" borderId="0" xfId="72" applyFont="1" applyBorder="1" applyAlignment="1">
      <alignment horizontal="center"/>
      <protection/>
    </xf>
    <xf numFmtId="0" fontId="34" fillId="0" borderId="0" xfId="72" applyFont="1" applyBorder="1">
      <alignment/>
      <protection/>
    </xf>
    <xf numFmtId="0" fontId="30" fillId="0" borderId="0" xfId="72" applyFont="1" applyBorder="1">
      <alignment/>
      <protection/>
    </xf>
    <xf numFmtId="0" fontId="33" fillId="0" borderId="0" xfId="72" applyFont="1" applyBorder="1">
      <alignment/>
      <protection/>
    </xf>
    <xf numFmtId="0" fontId="38" fillId="0" borderId="0" xfId="72" applyFont="1" applyBorder="1" applyAlignment="1">
      <alignment horizontal="left" indent="15"/>
      <protection/>
    </xf>
    <xf numFmtId="0" fontId="39" fillId="0" borderId="0" xfId="72" applyFont="1" applyBorder="1" applyAlignment="1">
      <alignment/>
      <protection/>
    </xf>
    <xf numFmtId="2" fontId="34" fillId="0" borderId="0" xfId="72" applyNumberFormat="1" applyFont="1" applyBorder="1" applyAlignment="1">
      <alignment horizontal="center"/>
      <protection/>
    </xf>
    <xf numFmtId="0" fontId="40" fillId="0" borderId="0" xfId="72" applyFont="1" applyBorder="1" applyAlignment="1">
      <alignment horizontal="left"/>
      <protection/>
    </xf>
    <xf numFmtId="0" fontId="41" fillId="0" borderId="0" xfId="72" applyFont="1" applyBorder="1" applyAlignment="1">
      <alignment horizontal="center"/>
      <protection/>
    </xf>
    <xf numFmtId="0" fontId="39" fillId="0" borderId="0" xfId="72" applyFont="1" applyBorder="1" applyAlignment="1">
      <alignment horizontal="left"/>
      <protection/>
    </xf>
    <xf numFmtId="0" fontId="42" fillId="0" borderId="0" xfId="72" applyFont="1" applyBorder="1" applyAlignment="1">
      <alignment horizontal="center"/>
      <protection/>
    </xf>
    <xf numFmtId="0" fontId="43" fillId="0" borderId="0" xfId="72" applyFont="1" applyBorder="1" applyAlignment="1">
      <alignment horizontal="center"/>
      <protection/>
    </xf>
    <xf numFmtId="0" fontId="44" fillId="0" borderId="0" xfId="72" applyFont="1" applyBorder="1" applyAlignment="1">
      <alignment wrapText="1"/>
      <protection/>
    </xf>
    <xf numFmtId="0" fontId="46" fillId="42" borderId="16" xfId="72" applyFont="1" applyFill="1" applyBorder="1" applyAlignment="1">
      <alignment horizontal="center" vertical="center" wrapText="1"/>
      <protection/>
    </xf>
    <xf numFmtId="9" fontId="24" fillId="42" borderId="17" xfId="72" applyNumberFormat="1" applyFont="1" applyFill="1" applyBorder="1" applyAlignment="1">
      <alignment horizontal="center" vertical="center" wrapText="1"/>
      <protection/>
    </xf>
    <xf numFmtId="0" fontId="46" fillId="42" borderId="18" xfId="72" applyFont="1" applyFill="1" applyBorder="1" applyAlignment="1">
      <alignment horizontal="center" vertical="center" wrapText="1"/>
      <protection/>
    </xf>
    <xf numFmtId="0" fontId="46" fillId="42" borderId="19" xfId="72" applyFont="1" applyFill="1" applyBorder="1" applyAlignment="1">
      <alignment horizontal="center" vertical="center" wrapText="1"/>
      <protection/>
    </xf>
    <xf numFmtId="0" fontId="46" fillId="42" borderId="20" xfId="72" applyFont="1" applyFill="1" applyBorder="1" applyAlignment="1">
      <alignment horizontal="center" vertical="center" wrapText="1"/>
      <protection/>
    </xf>
    <xf numFmtId="0" fontId="46" fillId="42" borderId="21" xfId="72" applyFont="1" applyFill="1" applyBorder="1" applyAlignment="1">
      <alignment horizontal="center" vertical="center" wrapText="1"/>
      <protection/>
    </xf>
    <xf numFmtId="2" fontId="34" fillId="0" borderId="0" xfId="72" applyNumberFormat="1" applyFont="1" applyBorder="1">
      <alignment/>
      <protection/>
    </xf>
    <xf numFmtId="0" fontId="39" fillId="42" borderId="22" xfId="72" applyFont="1" applyFill="1" applyBorder="1" applyAlignment="1">
      <alignment horizontal="center" vertical="center" wrapText="1"/>
      <protection/>
    </xf>
    <xf numFmtId="0" fontId="26" fillId="42" borderId="23" xfId="72" applyFont="1" applyFill="1" applyBorder="1" applyAlignment="1">
      <alignment horizontal="center" vertical="center" wrapText="1"/>
      <protection/>
    </xf>
    <xf numFmtId="0" fontId="39" fillId="42" borderId="23" xfId="72" applyFont="1" applyFill="1" applyBorder="1" applyAlignment="1">
      <alignment horizontal="center" wrapText="1"/>
      <protection/>
    </xf>
    <xf numFmtId="2" fontId="39" fillId="42" borderId="23" xfId="72" applyNumberFormat="1" applyFont="1" applyFill="1" applyBorder="1" applyAlignment="1">
      <alignment horizontal="center" vertical="center" wrapText="1"/>
      <protection/>
    </xf>
    <xf numFmtId="2" fontId="39" fillId="42" borderId="11" xfId="72" applyNumberFormat="1" applyFont="1" applyFill="1" applyBorder="1" applyAlignment="1">
      <alignment vertical="center" wrapText="1"/>
      <protection/>
    </xf>
    <xf numFmtId="2" fontId="30" fillId="0" borderId="0" xfId="72" applyNumberFormat="1" applyFont="1" applyBorder="1">
      <alignment/>
      <protection/>
    </xf>
    <xf numFmtId="0" fontId="39" fillId="42" borderId="24" xfId="72" applyFont="1" applyFill="1" applyBorder="1" applyAlignment="1">
      <alignment horizontal="center" vertical="center" wrapText="1"/>
      <protection/>
    </xf>
    <xf numFmtId="0" fontId="26" fillId="42" borderId="11" xfId="72" applyFont="1" applyFill="1" applyBorder="1" applyAlignment="1">
      <alignment horizontal="center" vertical="center" wrapText="1"/>
      <protection/>
    </xf>
    <xf numFmtId="0" fontId="39" fillId="42" borderId="11" xfId="72" applyFont="1" applyFill="1" applyBorder="1" applyAlignment="1">
      <alignment horizontal="center" wrapText="1"/>
      <protection/>
    </xf>
    <xf numFmtId="2" fontId="39" fillId="42" borderId="11" xfId="72" applyNumberFormat="1" applyFont="1" applyFill="1" applyBorder="1" applyAlignment="1">
      <alignment horizontal="center" vertical="center" wrapText="1"/>
      <protection/>
    </xf>
    <xf numFmtId="0" fontId="39" fillId="42" borderId="11" xfId="72" applyFont="1" applyFill="1" applyBorder="1" applyAlignment="1">
      <alignment horizontal="center" vertical="center" wrapText="1"/>
      <protection/>
    </xf>
    <xf numFmtId="0" fontId="34" fillId="0" borderId="0" xfId="72" applyFont="1" applyFill="1" applyBorder="1">
      <alignment/>
      <protection/>
    </xf>
    <xf numFmtId="0" fontId="46" fillId="42" borderId="11" xfId="72" applyFont="1" applyFill="1" applyBorder="1" applyAlignment="1">
      <alignment horizontal="center" vertical="center" wrapText="1"/>
      <protection/>
    </xf>
    <xf numFmtId="0" fontId="46" fillId="42" borderId="25" xfId="72" applyFont="1" applyFill="1" applyBorder="1" applyAlignment="1">
      <alignment horizontal="center" vertical="center" wrapText="1"/>
      <protection/>
    </xf>
    <xf numFmtId="0" fontId="18" fillId="42" borderId="19" xfId="72" applyFont="1" applyFill="1" applyBorder="1" applyAlignment="1">
      <alignment horizontal="center" vertical="center" wrapText="1"/>
      <protection/>
    </xf>
    <xf numFmtId="2" fontId="46" fillId="42" borderId="19" xfId="72" applyNumberFormat="1" applyFont="1" applyFill="1" applyBorder="1" applyAlignment="1">
      <alignment horizontal="center" vertical="center" wrapText="1"/>
      <protection/>
    </xf>
    <xf numFmtId="0" fontId="47" fillId="0" borderId="0" xfId="72" applyFont="1" applyBorder="1" applyAlignment="1">
      <alignment horizontal="left"/>
      <protection/>
    </xf>
    <xf numFmtId="0" fontId="34" fillId="0" borderId="10" xfId="72" applyFont="1" applyBorder="1">
      <alignment/>
      <protection/>
    </xf>
    <xf numFmtId="0" fontId="47" fillId="0" borderId="0" xfId="72" applyFont="1" applyBorder="1" applyAlignment="1">
      <alignment/>
      <protection/>
    </xf>
    <xf numFmtId="0" fontId="34" fillId="0" borderId="0" xfId="72" applyFont="1" applyBorder="1" applyAlignment="1">
      <alignment horizontal="center"/>
      <protection/>
    </xf>
    <xf numFmtId="0" fontId="47" fillId="0" borderId="0" xfId="72" applyFont="1" applyBorder="1" applyAlignment="1">
      <alignment horizontal="left" wrapText="1"/>
      <protection/>
    </xf>
    <xf numFmtId="0" fontId="33" fillId="0" borderId="0" xfId="72" applyFont="1" applyBorder="1" applyAlignment="1">
      <alignment/>
      <protection/>
    </xf>
    <xf numFmtId="0" fontId="48" fillId="0" borderId="10" xfId="72" applyFont="1" applyBorder="1" applyAlignment="1">
      <alignment wrapText="1"/>
      <protection/>
    </xf>
    <xf numFmtId="0" fontId="48" fillId="0" borderId="10" xfId="72" applyFont="1" applyBorder="1" applyAlignment="1">
      <alignment horizontal="center"/>
      <protection/>
    </xf>
    <xf numFmtId="1" fontId="48" fillId="0" borderId="10" xfId="72" applyNumberFormat="1" applyFont="1" applyBorder="1" applyAlignment="1">
      <alignment wrapText="1"/>
      <protection/>
    </xf>
    <xf numFmtId="0" fontId="48" fillId="0" borderId="0" xfId="72" applyFont="1">
      <alignment/>
      <protection/>
    </xf>
    <xf numFmtId="0" fontId="49" fillId="0" borderId="0" xfId="72" applyFont="1">
      <alignment/>
      <protection/>
    </xf>
    <xf numFmtId="0" fontId="50" fillId="0" borderId="0" xfId="72" applyFont="1" applyAlignment="1">
      <alignment horizontal="center"/>
      <protection/>
    </xf>
    <xf numFmtId="0" fontId="50" fillId="0" borderId="0" xfId="72" applyFont="1">
      <alignment/>
      <protection/>
    </xf>
    <xf numFmtId="0" fontId="48" fillId="0" borderId="0" xfId="72" applyFont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0" fontId="30" fillId="0" borderId="0" xfId="72" applyFont="1">
      <alignment/>
      <protection/>
    </xf>
    <xf numFmtId="0" fontId="26" fillId="0" borderId="0" xfId="72" applyFont="1" applyAlignment="1">
      <alignment horizontal="left" indent="4"/>
      <protection/>
    </xf>
    <xf numFmtId="0" fontId="33" fillId="0" borderId="0" xfId="72" applyFont="1">
      <alignment/>
      <protection/>
    </xf>
    <xf numFmtId="2" fontId="33" fillId="0" borderId="0" xfId="72" applyNumberFormat="1" applyFont="1">
      <alignment/>
      <protection/>
    </xf>
    <xf numFmtId="2" fontId="32" fillId="0" borderId="0" xfId="72" applyNumberFormat="1" applyFont="1">
      <alignment/>
      <protection/>
    </xf>
    <xf numFmtId="1" fontId="26" fillId="0" borderId="11" xfId="73" applyNumberFormat="1" applyFont="1" applyFill="1" applyBorder="1" applyAlignment="1">
      <alignment horizontal="center" vertical="top" wrapText="1"/>
      <protection/>
    </xf>
    <xf numFmtId="0" fontId="59" fillId="0" borderId="0" xfId="72" applyFont="1">
      <alignment/>
      <protection/>
    </xf>
    <xf numFmtId="179" fontId="59" fillId="0" borderId="0" xfId="72" applyNumberFormat="1" applyFont="1">
      <alignment/>
      <protection/>
    </xf>
    <xf numFmtId="0" fontId="48" fillId="0" borderId="0" xfId="72" applyFont="1" applyBorder="1">
      <alignment/>
      <protection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2" fillId="6" borderId="11" xfId="0" applyFont="1" applyFill="1" applyBorder="1" applyAlignment="1">
      <alignment horizontal="center" vertical="center" wrapText="1"/>
    </xf>
    <xf numFmtId="0" fontId="26" fillId="0" borderId="13" xfId="73" applyFont="1" applyFill="1" applyBorder="1" applyAlignment="1">
      <alignment horizontal="left" vertical="top" wrapText="1"/>
      <protection/>
    </xf>
    <xf numFmtId="0" fontId="26" fillId="0" borderId="15" xfId="73" applyFont="1" applyFill="1" applyBorder="1" applyAlignment="1">
      <alignment horizontal="left" vertical="top" wrapText="1"/>
      <protection/>
    </xf>
    <xf numFmtId="0" fontId="26" fillId="0" borderId="11" xfId="73" applyFont="1" applyFill="1" applyBorder="1" applyAlignment="1">
      <alignment horizontal="left" vertical="top" wrapText="1"/>
      <protection/>
    </xf>
    <xf numFmtId="0" fontId="26" fillId="0" borderId="11" xfId="73" applyFont="1" applyFill="1" applyBorder="1" applyAlignment="1">
      <alignment horizontal="center" vertical="top" wrapText="1"/>
      <protection/>
    </xf>
    <xf numFmtId="0" fontId="54" fillId="0" borderId="15" xfId="73" applyFont="1" applyFill="1" applyBorder="1" applyAlignment="1">
      <alignment horizontal="left" wrapText="1"/>
      <protection/>
    </xf>
    <xf numFmtId="0" fontId="0" fillId="0" borderId="13" xfId="73" applyFont="1" applyFill="1" applyBorder="1" applyAlignment="1">
      <alignment horizontal="center" vertical="top" wrapText="1"/>
      <protection/>
    </xf>
    <xf numFmtId="0" fontId="0" fillId="0" borderId="15" xfId="73" applyFont="1" applyFill="1" applyBorder="1" applyAlignment="1">
      <alignment horizontal="center" vertical="top" wrapText="1"/>
      <protection/>
    </xf>
    <xf numFmtId="172" fontId="46" fillId="0" borderId="11" xfId="73" applyNumberFormat="1" applyFont="1" applyFill="1" applyBorder="1" applyAlignment="1">
      <alignment horizontal="center" vertical="top" wrapText="1"/>
      <protection/>
    </xf>
    <xf numFmtId="0" fontId="46" fillId="0" borderId="11" xfId="73" applyFont="1" applyFill="1" applyBorder="1" applyAlignment="1">
      <alignment horizontal="left" vertical="top" wrapText="1"/>
      <protection/>
    </xf>
    <xf numFmtId="0" fontId="26" fillId="0" borderId="11" xfId="73" applyFont="1" applyFill="1" applyBorder="1" applyAlignment="1">
      <alignment horizontal="left" vertical="center" wrapText="1"/>
      <protection/>
    </xf>
    <xf numFmtId="0" fontId="26" fillId="0" borderId="26" xfId="73" applyFont="1" applyFill="1" applyBorder="1" applyAlignment="1">
      <alignment horizontal="left" vertical="top" wrapText="1"/>
      <protection/>
    </xf>
    <xf numFmtId="0" fontId="26" fillId="0" borderId="13" xfId="73" applyFont="1" applyFill="1" applyBorder="1" applyAlignment="1">
      <alignment horizontal="left" wrapText="1"/>
      <protection/>
    </xf>
    <xf numFmtId="0" fontId="26" fillId="0" borderId="15" xfId="73" applyFont="1" applyFill="1" applyBorder="1" applyAlignment="1">
      <alignment horizontal="left" wrapText="1"/>
      <protection/>
    </xf>
    <xf numFmtId="0" fontId="26" fillId="0" borderId="26" xfId="73" applyFont="1" applyFill="1" applyBorder="1" applyAlignment="1">
      <alignment horizontal="left" wrapText="1"/>
      <protection/>
    </xf>
    <xf numFmtId="0" fontId="0" fillId="0" borderId="27" xfId="73" applyFont="1" applyFill="1" applyBorder="1" applyAlignment="1">
      <alignment horizontal="center" vertical="center" wrapText="1"/>
      <protection/>
    </xf>
    <xf numFmtId="0" fontId="0" fillId="0" borderId="28" xfId="73" applyFont="1" applyFill="1" applyBorder="1" applyAlignment="1">
      <alignment horizontal="center" vertical="center" wrapText="1"/>
      <protection/>
    </xf>
    <xf numFmtId="0" fontId="0" fillId="0" borderId="29" xfId="73" applyFont="1" applyFill="1" applyBorder="1" applyAlignment="1">
      <alignment horizontal="center" vertical="center" wrapText="1"/>
      <protection/>
    </xf>
    <xf numFmtId="0" fontId="0" fillId="0" borderId="30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horizontal="center" vertical="center" wrapText="1"/>
      <protection/>
    </xf>
    <xf numFmtId="0" fontId="0" fillId="0" borderId="31" xfId="73" applyFont="1" applyFill="1" applyBorder="1" applyAlignment="1">
      <alignment horizontal="center" vertical="center" wrapText="1"/>
      <protection/>
    </xf>
    <xf numFmtId="0" fontId="58" fillId="0" borderId="10" xfId="73" applyFont="1" applyFill="1" applyBorder="1" applyAlignment="1">
      <alignment horizontal="left" wrapText="1"/>
      <protection/>
    </xf>
    <xf numFmtId="0" fontId="58" fillId="0" borderId="0" xfId="73" applyFont="1" applyFill="1" applyAlignment="1">
      <alignment horizontal="left"/>
      <protection/>
    </xf>
    <xf numFmtId="0" fontId="21" fillId="0" borderId="13" xfId="73" applyFont="1" applyFill="1" applyBorder="1" applyAlignment="1">
      <alignment horizontal="left" wrapText="1"/>
      <protection/>
    </xf>
    <xf numFmtId="0" fontId="21" fillId="0" borderId="15" xfId="73" applyFont="1" applyFill="1" applyBorder="1" applyAlignment="1">
      <alignment horizontal="left" wrapText="1"/>
      <protection/>
    </xf>
    <xf numFmtId="0" fontId="21" fillId="0" borderId="26" xfId="73" applyFont="1" applyFill="1" applyBorder="1" applyAlignment="1">
      <alignment horizontal="left" wrapText="1"/>
      <protection/>
    </xf>
    <xf numFmtId="0" fontId="58" fillId="0" borderId="0" xfId="73" applyFont="1" applyFill="1" applyAlignment="1">
      <alignment horizontal="left" wrapText="1"/>
      <protection/>
    </xf>
    <xf numFmtId="0" fontId="46" fillId="0" borderId="0" xfId="73" applyFont="1" applyFill="1" applyAlignment="1">
      <alignment horizontal="center"/>
      <protection/>
    </xf>
    <xf numFmtId="0" fontId="46" fillId="0" borderId="0" xfId="73" applyFont="1" applyFill="1" applyBorder="1" applyAlignment="1">
      <alignment horizontal="center"/>
      <protection/>
    </xf>
    <xf numFmtId="0" fontId="38" fillId="0" borderId="32" xfId="73" applyFont="1" applyFill="1" applyBorder="1" applyAlignment="1">
      <alignment horizontal="center" vertical="center" wrapText="1"/>
      <protection/>
    </xf>
    <xf numFmtId="0" fontId="38" fillId="0" borderId="33" xfId="73" applyFont="1" applyFill="1" applyBorder="1" applyAlignment="1">
      <alignment horizontal="center" vertical="center" wrapText="1"/>
      <protection/>
    </xf>
    <xf numFmtId="0" fontId="38" fillId="0" borderId="34" xfId="73" applyFont="1" applyFill="1" applyBorder="1" applyAlignment="1">
      <alignment horizontal="center" vertical="center" wrapText="1"/>
      <protection/>
    </xf>
    <xf numFmtId="0" fontId="38" fillId="0" borderId="12" xfId="73" applyFont="1" applyFill="1" applyBorder="1" applyAlignment="1">
      <alignment horizontal="center" vertical="center" wrapText="1"/>
      <protection/>
    </xf>
    <xf numFmtId="0" fontId="51" fillId="0" borderId="35" xfId="73" applyFont="1" applyFill="1" applyBorder="1" applyAlignment="1">
      <alignment horizontal="center" vertical="center" wrapText="1"/>
      <protection/>
    </xf>
    <xf numFmtId="0" fontId="51" fillId="0" borderId="36" xfId="73" applyFont="1" applyFill="1" applyBorder="1" applyAlignment="1">
      <alignment horizontal="center" vertical="center" wrapText="1"/>
      <protection/>
    </xf>
    <xf numFmtId="0" fontId="38" fillId="0" borderId="35" xfId="73" applyFont="1" applyFill="1" applyBorder="1" applyAlignment="1">
      <alignment horizontal="center" vertical="center" wrapText="1"/>
      <protection/>
    </xf>
    <xf numFmtId="0" fontId="38" fillId="0" borderId="36" xfId="73" applyFont="1" applyFill="1" applyBorder="1" applyAlignment="1">
      <alignment horizontal="center" vertical="center" wrapText="1"/>
      <protection/>
    </xf>
    <xf numFmtId="0" fontId="46" fillId="0" borderId="13" xfId="73" applyFont="1" applyFill="1" applyBorder="1" applyAlignment="1">
      <alignment horizontal="left" vertical="top" wrapText="1"/>
      <protection/>
    </xf>
    <xf numFmtId="0" fontId="46" fillId="0" borderId="15" xfId="73" applyFont="1" applyFill="1" applyBorder="1" applyAlignment="1">
      <alignment horizontal="left" vertical="top" wrapText="1"/>
      <protection/>
    </xf>
    <xf numFmtId="0" fontId="46" fillId="0" borderId="26" xfId="73" applyFont="1" applyFill="1" applyBorder="1" applyAlignment="1">
      <alignment horizontal="left" vertical="top" wrapText="1"/>
      <protection/>
    </xf>
    <xf numFmtId="0" fontId="26" fillId="0" borderId="11" xfId="73" applyFont="1" applyFill="1" applyBorder="1" applyAlignment="1">
      <alignment horizontal="center" vertical="center" wrapText="1"/>
      <protection/>
    </xf>
    <xf numFmtId="2" fontId="20" fillId="0" borderId="37" xfId="73" applyNumberFormat="1" applyFont="1" applyFill="1" applyBorder="1" applyAlignment="1">
      <alignment horizontal="center" vertical="center"/>
      <protection/>
    </xf>
    <xf numFmtId="2" fontId="20" fillId="0" borderId="38" xfId="73" applyNumberFormat="1" applyFont="1" applyFill="1" applyBorder="1" applyAlignment="1">
      <alignment horizontal="center" vertical="center"/>
      <protection/>
    </xf>
    <xf numFmtId="0" fontId="46" fillId="0" borderId="13" xfId="73" applyFont="1" applyFill="1" applyBorder="1" applyAlignment="1">
      <alignment horizontal="center" vertical="top" shrinkToFit="1"/>
      <protection/>
    </xf>
    <xf numFmtId="0" fontId="46" fillId="0" borderId="15" xfId="73" applyFont="1" applyFill="1" applyBorder="1" applyAlignment="1">
      <alignment horizontal="center" vertical="top" shrinkToFit="1"/>
      <protection/>
    </xf>
    <xf numFmtId="0" fontId="46" fillId="0" borderId="11" xfId="73" applyFont="1" applyFill="1" applyBorder="1" applyAlignment="1">
      <alignment horizontal="center" vertical="top" wrapText="1"/>
      <protection/>
    </xf>
    <xf numFmtId="0" fontId="46" fillId="0" borderId="39" xfId="73" applyFont="1" applyFill="1" applyBorder="1" applyAlignment="1">
      <alignment horizontal="center"/>
      <protection/>
    </xf>
    <xf numFmtId="0" fontId="0" fillId="0" borderId="0" xfId="73" applyFont="1" applyFill="1" applyAlignment="1">
      <alignment horizontal="center"/>
      <protection/>
    </xf>
    <xf numFmtId="0" fontId="26" fillId="0" borderId="0" xfId="0" applyFont="1" applyBorder="1" applyAlignment="1">
      <alignment horizontal="left" wrapText="1"/>
    </xf>
    <xf numFmtId="0" fontId="18" fillId="0" borderId="0" xfId="73" applyFont="1" applyFill="1" applyAlignment="1">
      <alignment horizontal="center" vertical="center"/>
      <protection/>
    </xf>
    <xf numFmtId="0" fontId="39" fillId="0" borderId="0" xfId="73" applyFont="1" applyFill="1" applyAlignment="1">
      <alignment horizontal="center" vertical="center"/>
      <protection/>
    </xf>
    <xf numFmtId="172" fontId="46" fillId="0" borderId="11" xfId="73" applyNumberFormat="1" applyFont="1" applyFill="1" applyBorder="1" applyAlignment="1">
      <alignment horizontal="right" vertical="top" wrapText="1"/>
      <protection/>
    </xf>
    <xf numFmtId="0" fontId="39" fillId="0" borderId="10" xfId="73" applyFont="1" applyFill="1" applyBorder="1" applyAlignment="1">
      <alignment horizontal="center" vertical="center"/>
      <protection/>
    </xf>
    <xf numFmtId="0" fontId="39" fillId="0" borderId="11" xfId="73" applyFont="1" applyFill="1" applyBorder="1" applyAlignment="1">
      <alignment horizontal="left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0" fontId="25" fillId="0" borderId="25" xfId="73" applyFont="1" applyFill="1" applyBorder="1" applyAlignment="1">
      <alignment horizontal="center" vertical="center" wrapText="1"/>
      <protection/>
    </xf>
    <xf numFmtId="0" fontId="25" fillId="0" borderId="23" xfId="73" applyFont="1" applyFill="1" applyBorder="1" applyAlignment="1">
      <alignment horizontal="center" vertical="center" wrapText="1"/>
      <protection/>
    </xf>
    <xf numFmtId="172" fontId="22" fillId="0" borderId="11" xfId="73" applyNumberFormat="1" applyFont="1" applyFill="1" applyBorder="1" applyAlignment="1">
      <alignment horizontal="right" vertical="top" wrapText="1"/>
      <protection/>
    </xf>
    <xf numFmtId="0" fontId="22" fillId="0" borderId="13" xfId="73" applyFont="1" applyFill="1" applyBorder="1" applyAlignment="1">
      <alignment horizontal="left"/>
      <protection/>
    </xf>
    <xf numFmtId="0" fontId="22" fillId="0" borderId="15" xfId="73" applyFont="1" applyFill="1" applyBorder="1" applyAlignment="1">
      <alignment horizontal="left"/>
      <protection/>
    </xf>
    <xf numFmtId="0" fontId="22" fillId="0" borderId="26" xfId="73" applyFont="1" applyFill="1" applyBorder="1" applyAlignment="1">
      <alignment horizontal="left"/>
      <protection/>
    </xf>
    <xf numFmtId="0" fontId="20" fillId="0" borderId="11" xfId="73" applyFont="1" applyFill="1" applyBorder="1" applyAlignment="1">
      <alignment horizontal="center" vertical="top" wrapText="1"/>
      <protection/>
    </xf>
    <xf numFmtId="0" fontId="55" fillId="0" borderId="0" xfId="73" applyFont="1" applyFill="1" applyBorder="1" applyAlignment="1">
      <alignment horizontal="left" vertical="top" wrapText="1"/>
      <protection/>
    </xf>
    <xf numFmtId="0" fontId="25" fillId="0" borderId="11" xfId="73" applyFont="1" applyFill="1" applyBorder="1" applyAlignment="1">
      <alignment horizontal="center" vertical="top" wrapText="1"/>
      <protection/>
    </xf>
    <xf numFmtId="172" fontId="22" fillId="0" borderId="11" xfId="73" applyNumberFormat="1" applyFont="1" applyFill="1" applyBorder="1" applyAlignment="1">
      <alignment horizontal="center" vertical="top" wrapText="1"/>
      <protection/>
    </xf>
    <xf numFmtId="0" fontId="46" fillId="0" borderId="11" xfId="0" applyFont="1" applyFill="1" applyBorder="1" applyAlignment="1">
      <alignment horizontal="left" vertical="top" wrapText="1"/>
    </xf>
    <xf numFmtId="0" fontId="46" fillId="42" borderId="16" xfId="72" applyFont="1" applyFill="1" applyBorder="1" applyAlignment="1">
      <alignment horizontal="center" vertical="center" wrapText="1"/>
      <protection/>
    </xf>
    <xf numFmtId="0" fontId="46" fillId="42" borderId="40" xfId="72" applyFont="1" applyFill="1" applyBorder="1" applyAlignment="1">
      <alignment horizontal="center" vertical="center" wrapText="1"/>
      <protection/>
    </xf>
    <xf numFmtId="0" fontId="46" fillId="42" borderId="17" xfId="72" applyFont="1" applyFill="1" applyBorder="1" applyAlignment="1">
      <alignment horizontal="center" vertical="center" wrapText="1"/>
      <protection/>
    </xf>
    <xf numFmtId="0" fontId="46" fillId="42" borderId="41" xfId="72" applyFont="1" applyFill="1" applyBorder="1" applyAlignment="1">
      <alignment horizontal="center" vertical="center" wrapText="1"/>
      <protection/>
    </xf>
    <xf numFmtId="0" fontId="46" fillId="42" borderId="42" xfId="72" applyFont="1" applyFill="1" applyBorder="1" applyAlignment="1">
      <alignment horizontal="center" vertical="center" wrapText="1"/>
      <protection/>
    </xf>
    <xf numFmtId="0" fontId="46" fillId="42" borderId="43" xfId="72" applyFont="1" applyFill="1" applyBorder="1" applyAlignment="1">
      <alignment horizontal="center" vertical="center" wrapText="1"/>
      <protection/>
    </xf>
    <xf numFmtId="0" fontId="46" fillId="42" borderId="44" xfId="72" applyFont="1" applyFill="1" applyBorder="1" applyAlignment="1">
      <alignment horizontal="center" vertical="center" wrapText="1"/>
      <protection/>
    </xf>
    <xf numFmtId="0" fontId="42" fillId="0" borderId="0" xfId="72" applyFont="1" applyBorder="1" applyAlignment="1">
      <alignment horizontal="center"/>
      <protection/>
    </xf>
    <xf numFmtId="2" fontId="39" fillId="42" borderId="11" xfId="72" applyNumberFormat="1" applyFont="1" applyFill="1" applyBorder="1" applyAlignment="1">
      <alignment horizontal="center" vertical="center" wrapText="1"/>
      <protection/>
    </xf>
    <xf numFmtId="2" fontId="39" fillId="42" borderId="45" xfId="72" applyNumberFormat="1" applyFont="1" applyFill="1" applyBorder="1" applyAlignment="1">
      <alignment horizontal="center" vertical="center" wrapText="1"/>
      <protection/>
    </xf>
    <xf numFmtId="0" fontId="46" fillId="42" borderId="46" xfId="72" applyFont="1" applyFill="1" applyBorder="1" applyAlignment="1">
      <alignment horizontal="center" vertical="center" wrapText="1"/>
      <protection/>
    </xf>
    <xf numFmtId="0" fontId="46" fillId="42" borderId="25" xfId="72" applyFont="1" applyFill="1" applyBorder="1" applyAlignment="1">
      <alignment horizontal="center" vertical="center" wrapText="1"/>
      <protection/>
    </xf>
    <xf numFmtId="2" fontId="39" fillId="42" borderId="13" xfId="72" applyNumberFormat="1" applyFont="1" applyFill="1" applyBorder="1" applyAlignment="1">
      <alignment horizontal="center" vertical="center" wrapText="1"/>
      <protection/>
    </xf>
    <xf numFmtId="2" fontId="39" fillId="42" borderId="47" xfId="72" applyNumberFormat="1" applyFont="1" applyFill="1" applyBorder="1" applyAlignment="1">
      <alignment horizontal="center" vertical="center" wrapText="1"/>
      <protection/>
    </xf>
    <xf numFmtId="0" fontId="33" fillId="0" borderId="10" xfId="72" applyFont="1" applyBorder="1" applyAlignment="1">
      <alignment horizontal="center"/>
      <protection/>
    </xf>
    <xf numFmtId="0" fontId="33" fillId="0" borderId="28" xfId="72" applyFont="1" applyBorder="1" applyAlignment="1">
      <alignment horizontal="center"/>
      <protection/>
    </xf>
    <xf numFmtId="0" fontId="46" fillId="42" borderId="21" xfId="72" applyFont="1" applyFill="1" applyBorder="1" applyAlignment="1">
      <alignment horizontal="center" vertical="center" wrapText="1"/>
      <protection/>
    </xf>
    <xf numFmtId="0" fontId="46" fillId="42" borderId="38" xfId="72" applyFont="1" applyFill="1" applyBorder="1" applyAlignment="1">
      <alignment horizontal="center" vertical="center" wrapText="1"/>
      <protection/>
    </xf>
    <xf numFmtId="0" fontId="45" fillId="0" borderId="48" xfId="72" applyFont="1" applyBorder="1" applyAlignment="1">
      <alignment horizontal="right"/>
      <protection/>
    </xf>
    <xf numFmtId="0" fontId="43" fillId="0" borderId="0" xfId="72" applyFont="1" applyBorder="1" applyAlignment="1">
      <alignment horizontal="center"/>
      <protection/>
    </xf>
    <xf numFmtId="0" fontId="44" fillId="0" borderId="10" xfId="72" applyFont="1" applyBorder="1" applyAlignment="1">
      <alignment horizontal="center" wrapText="1"/>
      <protection/>
    </xf>
    <xf numFmtId="0" fontId="22" fillId="42" borderId="49" xfId="72" applyFont="1" applyFill="1" applyBorder="1" applyAlignment="1">
      <alignment horizontal="center" vertical="center" wrapText="1"/>
      <protection/>
    </xf>
    <xf numFmtId="0" fontId="22" fillId="42" borderId="50" xfId="72" applyFont="1" applyFill="1" applyBorder="1" applyAlignment="1">
      <alignment horizontal="center" vertical="center" wrapText="1"/>
      <protection/>
    </xf>
    <xf numFmtId="0" fontId="39" fillId="42" borderId="11" xfId="72" applyFont="1" applyFill="1" applyBorder="1" applyAlignment="1">
      <alignment horizontal="left" vertical="center" wrapText="1"/>
      <protection/>
    </xf>
    <xf numFmtId="0" fontId="41" fillId="0" borderId="28" xfId="72" applyFont="1" applyBorder="1" applyAlignment="1">
      <alignment horizontal="center"/>
      <protection/>
    </xf>
    <xf numFmtId="2" fontId="46" fillId="42" borderId="21" xfId="72" applyNumberFormat="1" applyFont="1" applyFill="1" applyBorder="1" applyAlignment="1">
      <alignment horizontal="center" vertical="center" wrapText="1"/>
      <protection/>
    </xf>
    <xf numFmtId="2" fontId="46" fillId="42" borderId="38" xfId="72" applyNumberFormat="1" applyFont="1" applyFill="1" applyBorder="1" applyAlignment="1">
      <alignment horizontal="center" vertical="center" wrapText="1"/>
      <protection/>
    </xf>
    <xf numFmtId="0" fontId="18" fillId="42" borderId="18" xfId="72" applyFont="1" applyFill="1" applyBorder="1" applyAlignment="1">
      <alignment horizontal="center" vertical="center" wrapText="1"/>
      <protection/>
    </xf>
    <xf numFmtId="0" fontId="18" fillId="42" borderId="19" xfId="72" applyFont="1" applyFill="1" applyBorder="1" applyAlignment="1">
      <alignment horizontal="center" vertical="center" wrapText="1"/>
      <protection/>
    </xf>
    <xf numFmtId="0" fontId="47" fillId="0" borderId="10" xfId="72" applyFont="1" applyBorder="1" applyAlignment="1">
      <alignment horizontal="center"/>
      <protection/>
    </xf>
    <xf numFmtId="0" fontId="41" fillId="0" borderId="0" xfId="72" applyFont="1" applyBorder="1" applyAlignment="1">
      <alignment horizontal="center"/>
      <protection/>
    </xf>
    <xf numFmtId="0" fontId="34" fillId="0" borderId="10" xfId="72" applyFont="1" applyBorder="1" applyAlignment="1">
      <alignment horizontal="center"/>
      <protection/>
    </xf>
    <xf numFmtId="0" fontId="47" fillId="0" borderId="0" xfId="72" applyFont="1" applyBorder="1" applyAlignment="1">
      <alignment horizontal="left" wrapText="1"/>
      <protection/>
    </xf>
    <xf numFmtId="0" fontId="47" fillId="0" borderId="0" xfId="72" applyFont="1" applyBorder="1" applyAlignment="1">
      <alignment horizontal="left"/>
      <protection/>
    </xf>
    <xf numFmtId="0" fontId="18" fillId="42" borderId="24" xfId="72" applyFont="1" applyFill="1" applyBorder="1" applyAlignment="1">
      <alignment horizontal="center" vertical="center" wrapText="1"/>
      <protection/>
    </xf>
    <xf numFmtId="0" fontId="18" fillId="42" borderId="11" xfId="72" applyFont="1" applyFill="1" applyBorder="1" applyAlignment="1">
      <alignment horizontal="center" vertical="center" wrapText="1"/>
      <protection/>
    </xf>
    <xf numFmtId="0" fontId="18" fillId="42" borderId="45" xfId="72" applyFont="1" applyFill="1" applyBorder="1" applyAlignment="1">
      <alignment horizontal="center" vertical="center" wrapText="1"/>
      <protection/>
    </xf>
    <xf numFmtId="0" fontId="46" fillId="42" borderId="24" xfId="72" applyFont="1" applyFill="1" applyBorder="1" applyAlignment="1">
      <alignment horizontal="center" vertical="center" wrapText="1"/>
      <protection/>
    </xf>
    <xf numFmtId="0" fontId="46" fillId="42" borderId="11" xfId="72" applyFont="1" applyFill="1" applyBorder="1" applyAlignment="1">
      <alignment horizontal="center" vertical="center" wrapText="1"/>
      <protection/>
    </xf>
    <xf numFmtId="0" fontId="39" fillId="42" borderId="23" xfId="72" applyFont="1" applyFill="1" applyBorder="1" applyAlignment="1">
      <alignment horizontal="left" vertical="center" wrapText="1"/>
      <protection/>
    </xf>
    <xf numFmtId="0" fontId="26" fillId="42" borderId="11" xfId="72" applyFont="1" applyFill="1" applyBorder="1" applyAlignment="1">
      <alignment horizontal="left" vertical="center" wrapText="1"/>
      <protection/>
    </xf>
    <xf numFmtId="2" fontId="39" fillId="42" borderId="23" xfId="72" applyNumberFormat="1" applyFont="1" applyFill="1" applyBorder="1" applyAlignment="1">
      <alignment horizontal="center" vertical="center" wrapText="1"/>
      <protection/>
    </xf>
    <xf numFmtId="2" fontId="39" fillId="42" borderId="51" xfId="72" applyNumberFormat="1" applyFont="1" applyFill="1" applyBorder="1" applyAlignment="1">
      <alignment horizontal="center" vertical="center" wrapText="1"/>
      <protection/>
    </xf>
    <xf numFmtId="0" fontId="48" fillId="0" borderId="0" xfId="72" applyFont="1" applyAlignment="1">
      <alignment horizontal="left" wrapText="1"/>
      <protection/>
    </xf>
    <xf numFmtId="0" fontId="48" fillId="0" borderId="10" xfId="72" applyFont="1" applyBorder="1" applyAlignment="1">
      <alignment horizontal="center"/>
      <protection/>
    </xf>
    <xf numFmtId="2" fontId="34" fillId="0" borderId="0" xfId="72" applyNumberFormat="1" applyFont="1" applyBorder="1" applyAlignment="1">
      <alignment horizontal="center"/>
      <protection/>
    </xf>
    <xf numFmtId="0" fontId="40" fillId="0" borderId="10" xfId="72" applyFont="1" applyBorder="1" applyAlignment="1">
      <alignment horizontal="left" wrapText="1"/>
      <protection/>
    </xf>
    <xf numFmtId="0" fontId="46" fillId="42" borderId="19" xfId="72" applyFont="1" applyFill="1" applyBorder="1" applyAlignment="1">
      <alignment horizontal="center" vertical="center" wrapText="1"/>
      <protection/>
    </xf>
    <xf numFmtId="0" fontId="33" fillId="0" borderId="0" xfId="72" applyFont="1" applyBorder="1" applyAlignment="1">
      <alignment horizontal="center" vertical="top"/>
      <protection/>
    </xf>
    <xf numFmtId="0" fontId="22" fillId="42" borderId="16" xfId="72" applyFont="1" applyFill="1" applyBorder="1" applyAlignment="1">
      <alignment horizontal="center" vertical="center" wrapText="1"/>
      <protection/>
    </xf>
    <xf numFmtId="0" fontId="22" fillId="42" borderId="17" xfId="72" applyFont="1" applyFill="1" applyBorder="1" applyAlignment="1">
      <alignment horizontal="center" vertical="center" wrapText="1"/>
      <protection/>
    </xf>
    <xf numFmtId="0" fontId="46" fillId="42" borderId="52" xfId="72" applyFont="1" applyFill="1" applyBorder="1" applyAlignment="1">
      <alignment horizontal="center" vertical="center" wrapText="1"/>
      <protection/>
    </xf>
    <xf numFmtId="0" fontId="46" fillId="42" borderId="53" xfId="72" applyFont="1" applyFill="1" applyBorder="1" applyAlignment="1">
      <alignment horizontal="center" vertical="center" wrapText="1"/>
      <protection/>
    </xf>
    <xf numFmtId="0" fontId="40" fillId="0" borderId="10" xfId="72" applyFont="1" applyBorder="1" applyAlignment="1">
      <alignment horizontal="left"/>
      <protection/>
    </xf>
    <xf numFmtId="0" fontId="40" fillId="0" borderId="10" xfId="72" applyFont="1" applyBorder="1" applyAlignment="1">
      <alignment horizontal="center"/>
      <protection/>
    </xf>
    <xf numFmtId="0" fontId="35" fillId="0" borderId="0" xfId="72" applyFont="1" applyBorder="1" applyAlignment="1">
      <alignment horizontal="center"/>
      <protection/>
    </xf>
    <xf numFmtId="0" fontId="37" fillId="0" borderId="0" xfId="72" applyFont="1" applyBorder="1" applyAlignment="1">
      <alignment horizontal="left"/>
      <protection/>
    </xf>
    <xf numFmtId="178" fontId="36" fillId="0" borderId="0" xfId="72" applyNumberFormat="1" applyFont="1" applyBorder="1" applyAlignment="1">
      <alignment horizontal="left" wrapText="1"/>
      <protection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20" xfId="72"/>
    <cellStyle name="Обычный_Пояснювальна 2019" xfId="73"/>
    <cellStyle name="Followed Hyperlink" xfId="74"/>
    <cellStyle name="Плохой" xfId="75"/>
    <cellStyle name="Пояснение" xfId="76"/>
    <cellStyle name="Примечание" xfId="77"/>
    <cellStyle name="Примечание 2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4</xdr:col>
      <xdr:colOff>361950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600075</xdr:colOff>
      <xdr:row>108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600075</xdr:colOff>
      <xdr:row>108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600075</xdr:colOff>
      <xdr:row>108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600075</xdr:colOff>
      <xdr:row>108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600075</xdr:colOff>
      <xdr:row>108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600075</xdr:colOff>
      <xdr:row>108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110;&#1103;\2012\&#1041;&#1102;&#1076;&#1078;&#1077;&#1090;%202013\&#1041;&#1102;&#1076;&#1078;&#1077;&#1090;&#1085;&#1080;&#1081;%20&#1079;&#1072;&#1087;&#1080;&#1090;%202013%20&#1050;&#1085;&#1080;&#1075;&#1072;%20&#1055;&#1072;&#1084;&#1103;&#1090;&#1110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110;&#1103;\2018\&#1041;&#1102;&#1076;&#1078;&#1077;&#1090;%202019\&#1055;&#1086;&#1103;&#1089;&#1085;&#1102;&#1074;&#1072;&#1083;&#1100;&#1085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110;&#1103;\2019\&#1052;&#1086;&#1077;\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110;&#1103;\2019\&#1052;&#1086;&#1077;\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-1"/>
      <sheetName val="2013-2.2"/>
      <sheetName val="2013-2.3"/>
      <sheetName val="2013-2.4"/>
      <sheetName val="2013-2.7.1"/>
      <sheetName val="2013-2.7.2"/>
      <sheetName val="2013-2.7.3"/>
    </sheetNames>
    <sheetDataSet>
      <sheetData sheetId="1">
        <row r="10">
          <cell r="B10" t="str">
            <v>Оплата праці</v>
          </cell>
        </row>
        <row r="13">
          <cell r="B13" t="str">
            <v>Предмети, матеріали, обладнання та інвентар</v>
          </cell>
        </row>
        <row r="16">
          <cell r="B16" t="str">
            <v>Оплата послуг (крім комунальних) </v>
          </cell>
        </row>
        <row r="17">
          <cell r="B17" t="str">
            <v>Видатки на відрядження</v>
          </cell>
        </row>
        <row r="18">
          <cell r="B18" t="str">
            <v>Оплата комунальних послуг та енергоносіїв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уково-редакційний центр"/>
      <sheetName val="Пояснювальна до бюджету"/>
      <sheetName val="зп"/>
      <sheetName val="01.01.19 р."/>
    </sheetNames>
    <sheetDataSet>
      <sheetData sheetId="2">
        <row r="48">
          <cell r="H48">
            <v>63426</v>
          </cell>
          <cell r="I48">
            <v>9918.009999999998</v>
          </cell>
          <cell r="L48">
            <v>4414</v>
          </cell>
          <cell r="M48">
            <v>8698.95</v>
          </cell>
          <cell r="N48">
            <v>1321.8400000000001</v>
          </cell>
        </row>
        <row r="58">
          <cell r="E58">
            <v>245700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1.17"/>
      <sheetName val="20.03.17"/>
      <sheetName val="23.02.17"/>
      <sheetName val="01.04.17"/>
      <sheetName val="план"/>
      <sheetName val="01.01.20 р. "/>
      <sheetName val="ппп"/>
      <sheetName val="01.05.18 р."/>
      <sheetName val="01.01.18 р."/>
      <sheetName val="ДовидникКПК"/>
      <sheetName val="ДовидникКФК"/>
      <sheetName val="ДовидникКВК(ГОС)"/>
    </sheetNames>
    <sheetDataSet>
      <sheetData sheetId="7">
        <row r="48">
          <cell r="O48">
            <v>70051.07</v>
          </cell>
          <cell r="U48">
            <v>893777.84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1.17"/>
      <sheetName val="20.03.17"/>
      <sheetName val="23.02.17"/>
      <sheetName val="01.04.17"/>
      <sheetName val="01.01.19 р. "/>
      <sheetName val="ппп"/>
      <sheetName val="01.05.18 р."/>
      <sheetName val="01.01.18 р."/>
      <sheetName val="ДовидникКПК"/>
      <sheetName val="ДовидникКФК"/>
      <sheetName val="ДовидникКВК(ГОС)"/>
    </sheetNames>
    <sheetDataSet>
      <sheetData sheetId="4">
        <row r="24">
          <cell r="O24">
            <v>6276.15</v>
          </cell>
        </row>
        <row r="25">
          <cell r="O25">
            <v>5648.4</v>
          </cell>
        </row>
        <row r="27">
          <cell r="O27">
            <v>5962.95</v>
          </cell>
        </row>
        <row r="28">
          <cell r="O28">
            <v>5108.4</v>
          </cell>
        </row>
        <row r="29">
          <cell r="O29">
            <v>4540.8</v>
          </cell>
        </row>
        <row r="30">
          <cell r="O30">
            <v>4252.5</v>
          </cell>
        </row>
        <row r="33">
          <cell r="O33">
            <v>5020.8</v>
          </cell>
        </row>
        <row r="34">
          <cell r="O34">
            <v>4540.8</v>
          </cell>
        </row>
        <row r="35">
          <cell r="O35">
            <v>5108.400000000001</v>
          </cell>
        </row>
        <row r="36">
          <cell r="O36">
            <v>4252.5</v>
          </cell>
        </row>
        <row r="39">
          <cell r="O39">
            <v>5962.95</v>
          </cell>
        </row>
        <row r="40">
          <cell r="O40">
            <v>4540.8</v>
          </cell>
        </row>
        <row r="41">
          <cell r="O41">
            <v>4540.8</v>
          </cell>
        </row>
        <row r="42">
          <cell r="O42">
            <v>1135.2</v>
          </cell>
        </row>
        <row r="43">
          <cell r="O43">
            <v>1277.1000000000001</v>
          </cell>
        </row>
        <row r="44">
          <cell r="O44">
            <v>2270.4</v>
          </cell>
        </row>
        <row r="45">
          <cell r="O45">
            <v>2409.18</v>
          </cell>
        </row>
        <row r="46">
          <cell r="O46">
            <v>2409.18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3"/>
  <sheetViews>
    <sheetView tabSelected="1" view="pageBreakPreview" zoomScaleSheetLayoutView="100" zoomScalePageLayoutView="0" workbookViewId="0" topLeftCell="A7">
      <selection activeCell="H15" sqref="H15"/>
    </sheetView>
  </sheetViews>
  <sheetFormatPr defaultColWidth="9.33203125" defaultRowHeight="12.75"/>
  <cols>
    <col min="1" max="1" width="8.66015625" style="1" customWidth="1"/>
    <col min="2" max="2" width="35.33203125" style="1" customWidth="1"/>
    <col min="3" max="3" width="15.5" style="1" customWidth="1"/>
    <col min="4" max="4" width="17" style="1" customWidth="1"/>
    <col min="5" max="5" width="15.66015625" style="1" customWidth="1"/>
    <col min="6" max="6" width="12.16015625" style="1" customWidth="1"/>
    <col min="7" max="7" width="11.16015625" style="1" customWidth="1"/>
    <col min="8" max="8" width="29.33203125" style="1" customWidth="1"/>
    <col min="9" max="16384" width="9.33203125" style="1" customWidth="1"/>
  </cols>
  <sheetData>
    <row r="1" spans="2:8" ht="18" customHeight="1">
      <c r="B1" s="34"/>
      <c r="H1" s="10" t="s">
        <v>40</v>
      </c>
    </row>
    <row r="2" spans="1:8" ht="19.5" customHeight="1">
      <c r="A2" s="188" t="s">
        <v>181</v>
      </c>
      <c r="B2" s="188"/>
      <c r="C2" s="188"/>
      <c r="D2" s="188"/>
      <c r="E2" s="188"/>
      <c r="F2" s="188"/>
      <c r="G2" s="188"/>
      <c r="H2" s="188"/>
    </row>
    <row r="3" spans="1:8" ht="24.75" customHeight="1">
      <c r="A3" s="189" t="s">
        <v>37</v>
      </c>
      <c r="B3" s="189"/>
      <c r="C3" s="189"/>
      <c r="D3" s="189"/>
      <c r="E3" s="189"/>
      <c r="F3" s="189"/>
      <c r="G3" s="189"/>
      <c r="H3" s="189"/>
    </row>
    <row r="4" spans="1:8" ht="20.25" customHeight="1">
      <c r="A4" s="190" t="s">
        <v>211</v>
      </c>
      <c r="B4" s="190"/>
      <c r="C4" s="190"/>
      <c r="D4" s="190"/>
      <c r="E4" s="190"/>
      <c r="F4" s="190"/>
      <c r="G4" s="190"/>
      <c r="H4" s="190"/>
    </row>
    <row r="5" spans="1:8" ht="21" customHeight="1">
      <c r="A5" s="2"/>
      <c r="B5" s="2"/>
      <c r="C5" s="2"/>
      <c r="D5" s="2"/>
      <c r="E5" s="2"/>
      <c r="F5" s="2"/>
      <c r="G5" s="3"/>
      <c r="H5" s="4" t="s">
        <v>0</v>
      </c>
    </row>
    <row r="6" spans="1:8" ht="56.25" customHeight="1">
      <c r="A6" s="186" t="s">
        <v>1</v>
      </c>
      <c r="B6" s="185" t="s">
        <v>2</v>
      </c>
      <c r="C6" s="185" t="s">
        <v>182</v>
      </c>
      <c r="D6" s="5" t="s">
        <v>39</v>
      </c>
      <c r="E6" s="185" t="s">
        <v>38</v>
      </c>
      <c r="F6" s="185" t="s">
        <v>183</v>
      </c>
      <c r="G6" s="185"/>
      <c r="H6" s="185" t="s">
        <v>3</v>
      </c>
    </row>
    <row r="7" spans="1:8" ht="38.25">
      <c r="A7" s="186"/>
      <c r="B7" s="185"/>
      <c r="C7" s="185"/>
      <c r="D7" s="5" t="s">
        <v>184</v>
      </c>
      <c r="E7" s="185"/>
      <c r="F7" s="5" t="s">
        <v>4</v>
      </c>
      <c r="G7" s="5" t="s">
        <v>5</v>
      </c>
      <c r="H7" s="185"/>
    </row>
    <row r="8" spans="1:8" s="10" customFormat="1" ht="22.5" customHeight="1">
      <c r="A8" s="5">
        <v>2110</v>
      </c>
      <c r="B8" s="6" t="s">
        <v>6</v>
      </c>
      <c r="C8" s="7">
        <v>962.8</v>
      </c>
      <c r="D8" s="7"/>
      <c r="E8" s="7">
        <f>'Пояснювальна до бюджету '!H22/1000</f>
        <v>1116.8</v>
      </c>
      <c r="F8" s="8">
        <f aca="true" t="shared" si="0" ref="F8:F36">E8-(C8-D8)</f>
        <v>154</v>
      </c>
      <c r="G8" s="8">
        <f aca="true" t="shared" si="1" ref="G8:G36">IF(C8&gt;0,F8/(C8-D8)*100,0)</f>
        <v>15.99501454092231</v>
      </c>
      <c r="H8" s="9"/>
    </row>
    <row r="9" spans="1:8" s="10" customFormat="1" ht="17.25" customHeight="1">
      <c r="A9" s="5">
        <v>2120</v>
      </c>
      <c r="B9" s="6" t="s">
        <v>7</v>
      </c>
      <c r="C9" s="7">
        <v>211.8</v>
      </c>
      <c r="D9" s="7"/>
      <c r="E9" s="7">
        <f>'Пояснювальна до бюджету '!H28/1000</f>
        <v>245.7</v>
      </c>
      <c r="F9" s="8">
        <f t="shared" si="0"/>
        <v>33.89999999999998</v>
      </c>
      <c r="G9" s="8">
        <f t="shared" si="1"/>
        <v>16.005665722379593</v>
      </c>
      <c r="H9" s="9"/>
    </row>
    <row r="10" spans="1:8" s="10" customFormat="1" ht="21.75" customHeight="1">
      <c r="A10" s="5">
        <v>2200</v>
      </c>
      <c r="B10" s="6" t="s">
        <v>8</v>
      </c>
      <c r="C10" s="8">
        <f>SUM(C11:C15)+C16+C22</f>
        <v>274.20000000000005</v>
      </c>
      <c r="D10" s="8">
        <v>0</v>
      </c>
      <c r="E10" s="8">
        <f>SUM(E11:E15)+E16+E22</f>
        <v>388.25</v>
      </c>
      <c r="F10" s="8">
        <f t="shared" si="0"/>
        <v>114.04999999999995</v>
      </c>
      <c r="G10" s="8">
        <f t="shared" si="1"/>
        <v>41.59372720641865</v>
      </c>
      <c r="H10" s="9"/>
    </row>
    <row r="11" spans="1:8" s="10" customFormat="1" ht="102">
      <c r="A11" s="11">
        <v>2210</v>
      </c>
      <c r="B11" s="12" t="s">
        <v>9</v>
      </c>
      <c r="C11" s="7">
        <v>89</v>
      </c>
      <c r="D11" s="7">
        <v>0</v>
      </c>
      <c r="E11" s="7">
        <f>'Пояснювальна до бюджету '!H30/1000</f>
        <v>166.5</v>
      </c>
      <c r="F11" s="8">
        <f t="shared" si="0"/>
        <v>77.5</v>
      </c>
      <c r="G11" s="8">
        <f t="shared" si="1"/>
        <v>87.07865168539325</v>
      </c>
      <c r="H11" s="9" t="s">
        <v>217</v>
      </c>
    </row>
    <row r="12" spans="1:8" ht="22.5" customHeight="1">
      <c r="A12" s="11">
        <v>2220</v>
      </c>
      <c r="B12" s="12" t="s">
        <v>10</v>
      </c>
      <c r="C12" s="7"/>
      <c r="D12" s="7"/>
      <c r="E12" s="13"/>
      <c r="F12" s="8">
        <f t="shared" si="0"/>
        <v>0</v>
      </c>
      <c r="G12" s="8">
        <f t="shared" si="1"/>
        <v>0</v>
      </c>
      <c r="H12" s="15"/>
    </row>
    <row r="13" spans="1:8" ht="12.75">
      <c r="A13" s="11">
        <v>2230</v>
      </c>
      <c r="B13" s="12" t="s">
        <v>11</v>
      </c>
      <c r="C13" s="7"/>
      <c r="D13" s="7"/>
      <c r="E13" s="13"/>
      <c r="F13" s="8">
        <f t="shared" si="0"/>
        <v>0</v>
      </c>
      <c r="G13" s="8">
        <f t="shared" si="1"/>
        <v>0</v>
      </c>
      <c r="H13" s="15"/>
    </row>
    <row r="14" spans="1:8" ht="104.25" customHeight="1">
      <c r="A14" s="11">
        <v>2240</v>
      </c>
      <c r="B14" s="16" t="s">
        <v>12</v>
      </c>
      <c r="C14" s="7">
        <v>126.4</v>
      </c>
      <c r="D14" s="7">
        <v>0</v>
      </c>
      <c r="E14" s="7">
        <f>'Пояснювальна до бюджету '!H44/1000</f>
        <v>160</v>
      </c>
      <c r="F14" s="8">
        <f t="shared" si="0"/>
        <v>33.599999999999994</v>
      </c>
      <c r="G14" s="8">
        <f t="shared" si="1"/>
        <v>26.58227848101265</v>
      </c>
      <c r="H14" s="9" t="s">
        <v>218</v>
      </c>
    </row>
    <row r="15" spans="1:8" s="10" customFormat="1" ht="20.25" customHeight="1">
      <c r="A15" s="5">
        <v>2250</v>
      </c>
      <c r="B15" s="6" t="s">
        <v>13</v>
      </c>
      <c r="C15" s="7">
        <v>5.3</v>
      </c>
      <c r="D15" s="7"/>
      <c r="E15" s="7">
        <f>'Пояснювальна до бюджету '!H80/1000</f>
        <v>4.5</v>
      </c>
      <c r="F15" s="8">
        <f t="shared" si="0"/>
        <v>-0.7999999999999998</v>
      </c>
      <c r="G15" s="8">
        <f t="shared" si="1"/>
        <v>-15.094339622641506</v>
      </c>
      <c r="H15" s="9"/>
    </row>
    <row r="16" spans="1:8" s="10" customFormat="1" ht="24" customHeight="1">
      <c r="A16" s="5">
        <v>2270</v>
      </c>
      <c r="B16" s="6" t="s">
        <v>14</v>
      </c>
      <c r="C16" s="8">
        <f>SUM(C17:C21)</f>
        <v>53.5</v>
      </c>
      <c r="D16" s="8">
        <f>SUM(D17:D21)</f>
        <v>0</v>
      </c>
      <c r="E16" s="8">
        <f>SUM(E17:E21)</f>
        <v>55.85</v>
      </c>
      <c r="F16" s="8">
        <f t="shared" si="0"/>
        <v>2.3500000000000014</v>
      </c>
      <c r="G16" s="8">
        <f t="shared" si="1"/>
        <v>4.392523364485984</v>
      </c>
      <c r="H16" s="9"/>
    </row>
    <row r="17" spans="1:8" ht="18.75" customHeight="1">
      <c r="A17" s="11">
        <v>2271</v>
      </c>
      <c r="B17" s="12" t="s">
        <v>15</v>
      </c>
      <c r="C17" s="7">
        <v>38.8</v>
      </c>
      <c r="D17" s="7">
        <v>0</v>
      </c>
      <c r="E17" s="13">
        <f>'Пояснювальна до бюджету '!H90/1000</f>
        <v>38.9</v>
      </c>
      <c r="F17" s="8">
        <f t="shared" si="0"/>
        <v>0.10000000000000142</v>
      </c>
      <c r="G17" s="8">
        <f t="shared" si="1"/>
        <v>0.2577319587628903</v>
      </c>
      <c r="H17" s="15"/>
    </row>
    <row r="18" spans="1:8" ht="18.75" customHeight="1">
      <c r="A18" s="11">
        <v>2272</v>
      </c>
      <c r="B18" s="12" t="s">
        <v>16</v>
      </c>
      <c r="C18" s="7">
        <v>0.7</v>
      </c>
      <c r="D18" s="7">
        <v>0</v>
      </c>
      <c r="E18" s="13">
        <f>'Пояснювальна до бюджету '!H91/1000</f>
        <v>0.75</v>
      </c>
      <c r="F18" s="8">
        <f t="shared" si="0"/>
        <v>0.050000000000000044</v>
      </c>
      <c r="G18" s="8">
        <f t="shared" si="1"/>
        <v>7.1428571428571495</v>
      </c>
      <c r="H18" s="15"/>
    </row>
    <row r="19" spans="1:8" ht="15.75" customHeight="1">
      <c r="A19" s="11">
        <v>2273</v>
      </c>
      <c r="B19" s="12" t="s">
        <v>17</v>
      </c>
      <c r="C19" s="7">
        <v>14</v>
      </c>
      <c r="D19" s="7">
        <v>0</v>
      </c>
      <c r="E19" s="13">
        <f>'Пояснювальна до бюджету '!H92/1000</f>
        <v>15.5</v>
      </c>
      <c r="F19" s="8">
        <f t="shared" si="0"/>
        <v>1.5</v>
      </c>
      <c r="G19" s="8">
        <f t="shared" si="1"/>
        <v>10.714285714285714</v>
      </c>
      <c r="H19" s="15"/>
    </row>
    <row r="20" spans="1:8" ht="17.25" customHeight="1">
      <c r="A20" s="11">
        <v>2274</v>
      </c>
      <c r="B20" s="12" t="s">
        <v>18</v>
      </c>
      <c r="C20" s="7"/>
      <c r="D20" s="7"/>
      <c r="E20" s="13"/>
      <c r="F20" s="8">
        <f t="shared" si="0"/>
        <v>0</v>
      </c>
      <c r="G20" s="8">
        <f t="shared" si="1"/>
        <v>0</v>
      </c>
      <c r="H20" s="15"/>
    </row>
    <row r="21" spans="1:8" ht="19.5" customHeight="1">
      <c r="A21" s="11">
        <v>2275</v>
      </c>
      <c r="B21" s="12" t="s">
        <v>19</v>
      </c>
      <c r="C21" s="7">
        <v>0</v>
      </c>
      <c r="D21" s="7"/>
      <c r="E21" s="13">
        <f>'Пояснювальна до бюджету '!H93/1000</f>
        <v>0.7</v>
      </c>
      <c r="F21" s="8">
        <f t="shared" si="0"/>
        <v>0.7</v>
      </c>
      <c r="G21" s="8">
        <f t="shared" si="1"/>
        <v>0</v>
      </c>
      <c r="H21" s="15"/>
    </row>
    <row r="22" spans="1:8" s="10" customFormat="1" ht="51">
      <c r="A22" s="5">
        <v>2282</v>
      </c>
      <c r="B22" s="6" t="s">
        <v>20</v>
      </c>
      <c r="C22" s="7"/>
      <c r="D22" s="7"/>
      <c r="E22" s="7">
        <v>1.4</v>
      </c>
      <c r="F22" s="8">
        <f t="shared" si="0"/>
        <v>1.4</v>
      </c>
      <c r="G22" s="8">
        <f t="shared" si="1"/>
        <v>0</v>
      </c>
      <c r="H22" s="9"/>
    </row>
    <row r="23" spans="1:8" s="10" customFormat="1" ht="45.75" customHeight="1">
      <c r="A23" s="5">
        <v>2610</v>
      </c>
      <c r="B23" s="6" t="s">
        <v>21</v>
      </c>
      <c r="C23" s="7"/>
      <c r="D23" s="7"/>
      <c r="E23" s="7"/>
      <c r="F23" s="8">
        <f t="shared" si="0"/>
        <v>0</v>
      </c>
      <c r="G23" s="8">
        <f t="shared" si="1"/>
        <v>0</v>
      </c>
      <c r="H23" s="9"/>
    </row>
    <row r="24" spans="1:8" s="10" customFormat="1" ht="17.25" customHeight="1">
      <c r="A24" s="5">
        <v>2700</v>
      </c>
      <c r="B24" s="6" t="s">
        <v>22</v>
      </c>
      <c r="C24" s="8">
        <f>SUM(C25:C27)</f>
        <v>0</v>
      </c>
      <c r="D24" s="8">
        <f>SUM(D25:D27)</f>
        <v>0</v>
      </c>
      <c r="E24" s="8">
        <f>SUM(E25:E27)</f>
        <v>0</v>
      </c>
      <c r="F24" s="8">
        <f t="shared" si="0"/>
        <v>0</v>
      </c>
      <c r="G24" s="8">
        <f t="shared" si="1"/>
        <v>0</v>
      </c>
      <c r="H24" s="9"/>
    </row>
    <row r="25" spans="1:8" s="10" customFormat="1" ht="12.75">
      <c r="A25" s="11">
        <v>2710</v>
      </c>
      <c r="B25" s="12" t="s">
        <v>23</v>
      </c>
      <c r="C25" s="7"/>
      <c r="D25" s="7"/>
      <c r="E25" s="8"/>
      <c r="F25" s="8">
        <f t="shared" si="0"/>
        <v>0</v>
      </c>
      <c r="G25" s="8">
        <f t="shared" si="1"/>
        <v>0</v>
      </c>
      <c r="H25" s="9"/>
    </row>
    <row r="26" spans="1:8" s="18" customFormat="1" ht="16.5" customHeight="1">
      <c r="A26" s="11">
        <v>2720</v>
      </c>
      <c r="B26" s="12" t="s">
        <v>24</v>
      </c>
      <c r="C26" s="7"/>
      <c r="D26" s="7"/>
      <c r="E26" s="17"/>
      <c r="F26" s="8">
        <f t="shared" si="0"/>
        <v>0</v>
      </c>
      <c r="G26" s="8">
        <f t="shared" si="1"/>
        <v>0</v>
      </c>
      <c r="H26" s="14"/>
    </row>
    <row r="27" spans="1:8" s="18" customFormat="1" ht="15.75" customHeight="1">
      <c r="A27" s="11">
        <v>2730</v>
      </c>
      <c r="B27" s="12" t="s">
        <v>25</v>
      </c>
      <c r="C27" s="7"/>
      <c r="D27" s="7"/>
      <c r="E27" s="17"/>
      <c r="F27" s="8">
        <f t="shared" si="0"/>
        <v>0</v>
      </c>
      <c r="G27" s="8">
        <f t="shared" si="1"/>
        <v>0</v>
      </c>
      <c r="H27" s="14"/>
    </row>
    <row r="28" spans="1:8" s="10" customFormat="1" ht="19.5" customHeight="1">
      <c r="A28" s="5">
        <v>2800</v>
      </c>
      <c r="B28" s="6" t="s">
        <v>26</v>
      </c>
      <c r="C28" s="7">
        <v>0.1</v>
      </c>
      <c r="D28" s="7">
        <v>0</v>
      </c>
      <c r="E28" s="8">
        <v>0.1</v>
      </c>
      <c r="F28" s="8">
        <f t="shared" si="0"/>
        <v>0</v>
      </c>
      <c r="G28" s="8">
        <f t="shared" si="1"/>
        <v>0</v>
      </c>
      <c r="H28" s="9"/>
    </row>
    <row r="29" spans="1:8" s="30" customFormat="1" ht="51.75" customHeight="1">
      <c r="A29" s="19" t="s">
        <v>27</v>
      </c>
      <c r="B29" s="20" t="s">
        <v>28</v>
      </c>
      <c r="C29" s="21">
        <f>C8+C9+C10+C23+C24+C28</f>
        <v>1448.8999999999999</v>
      </c>
      <c r="D29" s="21">
        <f>D8+D9+D10+D23+D24+D28</f>
        <v>0</v>
      </c>
      <c r="E29" s="21">
        <f>E8+E9+E10+E23+E24+E28</f>
        <v>1750.85</v>
      </c>
      <c r="F29" s="21">
        <f t="shared" si="0"/>
        <v>301.95000000000005</v>
      </c>
      <c r="G29" s="21">
        <f t="shared" si="1"/>
        <v>20.83994754641453</v>
      </c>
      <c r="H29" s="22"/>
    </row>
    <row r="30" spans="1:8" s="10" customFormat="1" ht="57" customHeight="1">
      <c r="A30" s="5">
        <v>3000</v>
      </c>
      <c r="B30" s="6" t="s">
        <v>29</v>
      </c>
      <c r="C30" s="8">
        <f>C31+C32+C34+C33</f>
        <v>0</v>
      </c>
      <c r="D30" s="8">
        <f>D31+D32+D34+D33</f>
        <v>0</v>
      </c>
      <c r="E30" s="8">
        <f>E31+E32+E34+E33</f>
        <v>0</v>
      </c>
      <c r="F30" s="8">
        <f t="shared" si="0"/>
        <v>0</v>
      </c>
      <c r="G30" s="8">
        <f t="shared" si="1"/>
        <v>0</v>
      </c>
      <c r="H30" s="9"/>
    </row>
    <row r="31" spans="1:8" ht="24">
      <c r="A31" s="11">
        <v>3110</v>
      </c>
      <c r="B31" s="12" t="s">
        <v>30</v>
      </c>
      <c r="C31" s="7"/>
      <c r="D31" s="7"/>
      <c r="E31" s="17"/>
      <c r="F31" s="8">
        <f t="shared" si="0"/>
        <v>0</v>
      </c>
      <c r="G31" s="8">
        <f t="shared" si="1"/>
        <v>0</v>
      </c>
      <c r="H31" s="15"/>
    </row>
    <row r="32" spans="1:8" ht="17.25" customHeight="1">
      <c r="A32" s="11">
        <v>3130</v>
      </c>
      <c r="B32" s="12" t="s">
        <v>31</v>
      </c>
      <c r="C32" s="7"/>
      <c r="D32" s="7"/>
      <c r="E32" s="13"/>
      <c r="F32" s="8">
        <f t="shared" si="0"/>
        <v>0</v>
      </c>
      <c r="G32" s="8">
        <f t="shared" si="1"/>
        <v>0</v>
      </c>
      <c r="H32" s="15"/>
    </row>
    <row r="33" spans="1:8" ht="17.25" customHeight="1">
      <c r="A33" s="11">
        <v>3140</v>
      </c>
      <c r="B33" s="12" t="s">
        <v>32</v>
      </c>
      <c r="C33" s="7"/>
      <c r="D33" s="7"/>
      <c r="E33" s="17"/>
      <c r="F33" s="8">
        <f t="shared" si="0"/>
        <v>0</v>
      </c>
      <c r="G33" s="8">
        <f t="shared" si="1"/>
        <v>0</v>
      </c>
      <c r="H33" s="15"/>
    </row>
    <row r="34" spans="1:8" ht="24">
      <c r="A34" s="11">
        <v>3210</v>
      </c>
      <c r="B34" s="12" t="s">
        <v>33</v>
      </c>
      <c r="C34" s="7"/>
      <c r="D34" s="7"/>
      <c r="E34" s="17"/>
      <c r="F34" s="8">
        <f t="shared" si="0"/>
        <v>0</v>
      </c>
      <c r="G34" s="8">
        <f t="shared" si="1"/>
        <v>0</v>
      </c>
      <c r="H34" s="15"/>
    </row>
    <row r="35" spans="1:8" s="32" customFormat="1" ht="51.75" customHeight="1">
      <c r="A35" s="19" t="s">
        <v>27</v>
      </c>
      <c r="B35" s="31" t="s">
        <v>34</v>
      </c>
      <c r="C35" s="23">
        <f>C30</f>
        <v>0</v>
      </c>
      <c r="D35" s="23">
        <f>D30</f>
        <v>0</v>
      </c>
      <c r="E35" s="23">
        <f>E30</f>
        <v>0</v>
      </c>
      <c r="F35" s="21">
        <f t="shared" si="0"/>
        <v>0</v>
      </c>
      <c r="G35" s="21">
        <f t="shared" si="1"/>
        <v>0</v>
      </c>
      <c r="H35" s="24"/>
    </row>
    <row r="36" spans="1:8" s="33" customFormat="1" ht="42" customHeight="1">
      <c r="A36" s="192" t="s">
        <v>35</v>
      </c>
      <c r="B36" s="192"/>
      <c r="C36" s="25">
        <f>C29+C35</f>
        <v>1448.8999999999999</v>
      </c>
      <c r="D36" s="25">
        <f>D29+D35</f>
        <v>0</v>
      </c>
      <c r="E36" s="25">
        <f>E29+E35</f>
        <v>1750.85</v>
      </c>
      <c r="F36" s="21">
        <f t="shared" si="0"/>
        <v>301.95000000000005</v>
      </c>
      <c r="G36" s="21">
        <f t="shared" si="1"/>
        <v>20.83994754641453</v>
      </c>
      <c r="H36" s="26"/>
    </row>
    <row r="37" spans="1:7" ht="10.5" customHeight="1">
      <c r="A37" s="27"/>
      <c r="B37" s="27"/>
      <c r="C37" s="27"/>
      <c r="D37" s="27"/>
      <c r="E37" s="28"/>
      <c r="F37" s="28"/>
      <c r="G37" s="28"/>
    </row>
    <row r="39" spans="1:8" ht="12.75">
      <c r="A39" s="191" t="s">
        <v>36</v>
      </c>
      <c r="B39" s="191"/>
      <c r="C39" s="191"/>
      <c r="D39" s="191"/>
      <c r="E39" s="191"/>
      <c r="F39" s="191"/>
      <c r="G39" s="191"/>
      <c r="H39" s="191"/>
    </row>
    <row r="41" ht="12.75">
      <c r="E41" s="29"/>
    </row>
    <row r="42" ht="12.75">
      <c r="E42" s="29"/>
    </row>
    <row r="43" spans="1:8" ht="42.75" customHeight="1">
      <c r="A43" s="187"/>
      <c r="B43" s="187"/>
      <c r="C43" s="187"/>
      <c r="D43" s="187"/>
      <c r="E43" s="187"/>
      <c r="F43" s="187"/>
      <c r="G43" s="187"/>
      <c r="H43" s="187"/>
    </row>
  </sheetData>
  <sheetProtection/>
  <mergeCells count="12">
    <mergeCell ref="A43:H43"/>
    <mergeCell ref="A2:H2"/>
    <mergeCell ref="A3:H3"/>
    <mergeCell ref="A4:H4"/>
    <mergeCell ref="A39:H39"/>
    <mergeCell ref="A36:B36"/>
    <mergeCell ref="H6:H7"/>
    <mergeCell ref="E6:E7"/>
    <mergeCell ref="F6:G6"/>
    <mergeCell ref="A6:A7"/>
    <mergeCell ref="B6:B7"/>
    <mergeCell ref="C6:C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257"/>
  <sheetViews>
    <sheetView view="pageBreakPreview" zoomScaleSheetLayoutView="100" zoomScalePageLayoutView="0" workbookViewId="0" topLeftCell="A80">
      <selection activeCell="A98" sqref="A98:D98"/>
    </sheetView>
  </sheetViews>
  <sheetFormatPr defaultColWidth="10.66015625" defaultRowHeight="12.75"/>
  <cols>
    <col min="1" max="1" width="18.5" style="37" customWidth="1"/>
    <col min="2" max="2" width="10.33203125" style="37" customWidth="1"/>
    <col min="3" max="3" width="9.5" style="37" customWidth="1"/>
    <col min="4" max="4" width="13.16015625" style="37" customWidth="1"/>
    <col min="5" max="5" width="15" style="37" customWidth="1"/>
    <col min="6" max="6" width="13.83203125" style="37" customWidth="1"/>
    <col min="7" max="7" width="11.33203125" style="37" customWidth="1"/>
    <col min="8" max="8" width="16.66015625" style="37" customWidth="1"/>
    <col min="9" max="9" width="22.83203125" style="37" customWidth="1"/>
    <col min="10" max="10" width="14" style="38" customWidth="1"/>
    <col min="11" max="16384" width="10.66015625" style="38" customWidth="1"/>
  </cols>
  <sheetData>
    <row r="1" ht="12.75" hidden="1"/>
    <row r="2" ht="12.75" hidden="1"/>
    <row r="3" ht="1.5" customHeight="1" hidden="1"/>
    <row r="4" ht="24.75" customHeight="1" hidden="1"/>
    <row r="5" ht="12.75" hidden="1"/>
    <row r="6" spans="1:9" ht="18.75" hidden="1">
      <c r="A6" s="219" t="s">
        <v>86</v>
      </c>
      <c r="B6" s="219"/>
      <c r="C6" s="219"/>
      <c r="D6" s="219"/>
      <c r="E6" s="219"/>
      <c r="F6" s="219"/>
      <c r="G6" s="219"/>
      <c r="H6" s="219"/>
      <c r="I6" s="219"/>
    </row>
    <row r="7" spans="1:9" ht="20.25" customHeight="1" hidden="1">
      <c r="A7" s="219" t="s">
        <v>87</v>
      </c>
      <c r="B7" s="219"/>
      <c r="C7" s="219"/>
      <c r="D7" s="219"/>
      <c r="E7" s="219"/>
      <c r="F7" s="219"/>
      <c r="G7" s="219"/>
      <c r="H7" s="219"/>
      <c r="I7" s="219"/>
    </row>
    <row r="8" spans="1:9" ht="18.75" hidden="1">
      <c r="A8" s="219" t="s">
        <v>88</v>
      </c>
      <c r="B8" s="219"/>
      <c r="C8" s="219"/>
      <c r="D8" s="219"/>
      <c r="E8" s="219"/>
      <c r="F8" s="219"/>
      <c r="G8" s="219"/>
      <c r="H8" s="219"/>
      <c r="I8" s="219"/>
    </row>
    <row r="9" spans="1:9" ht="18.75" hidden="1">
      <c r="A9" s="220" t="s">
        <v>89</v>
      </c>
      <c r="B9" s="220"/>
      <c r="C9" s="220"/>
      <c r="D9" s="220"/>
      <c r="E9" s="220"/>
      <c r="F9" s="220"/>
      <c r="G9" s="220"/>
      <c r="H9" s="220"/>
      <c r="I9" s="220"/>
    </row>
    <row r="10" spans="1:9" ht="19.5" hidden="1" thickBot="1">
      <c r="A10" s="238" t="s">
        <v>90</v>
      </c>
      <c r="B10" s="238"/>
      <c r="C10" s="238"/>
      <c r="D10" s="238"/>
      <c r="E10" s="238"/>
      <c r="F10" s="238"/>
      <c r="G10" s="238"/>
      <c r="H10" s="238"/>
      <c r="I10" s="238"/>
    </row>
    <row r="11" spans="1:9" ht="12.75" hidden="1">
      <c r="A11" s="239" t="s">
        <v>91</v>
      </c>
      <c r="B11" s="239"/>
      <c r="C11" s="239"/>
      <c r="D11" s="239"/>
      <c r="E11" s="239"/>
      <c r="F11" s="239"/>
      <c r="G11" s="239"/>
      <c r="H11" s="239"/>
      <c r="I11" s="239"/>
    </row>
    <row r="12" spans="2:9" s="91" customFormat="1" ht="18.75">
      <c r="B12" s="92"/>
      <c r="C12" s="93"/>
      <c r="F12" s="94" t="s">
        <v>41</v>
      </c>
      <c r="G12" s="95"/>
      <c r="I12" s="94"/>
    </row>
    <row r="13" spans="2:9" s="91" customFormat="1" ht="44.25" customHeight="1">
      <c r="B13" s="92"/>
      <c r="F13" s="240" t="s">
        <v>185</v>
      </c>
      <c r="G13" s="240"/>
      <c r="H13" s="240"/>
      <c r="I13" s="240"/>
    </row>
    <row r="14" spans="2:9" s="91" customFormat="1" ht="14.25" customHeight="1">
      <c r="B14" s="92"/>
      <c r="F14" s="96"/>
      <c r="G14" s="96"/>
      <c r="H14" s="96"/>
      <c r="I14" s="97" t="s">
        <v>186</v>
      </c>
    </row>
    <row r="15" spans="2:9" s="91" customFormat="1" ht="27" customHeight="1">
      <c r="B15" s="92"/>
      <c r="D15" s="98"/>
      <c r="F15" s="99" t="s">
        <v>187</v>
      </c>
      <c r="G15" s="99"/>
      <c r="H15" s="99"/>
      <c r="I15" s="99"/>
    </row>
    <row r="16" spans="2:9" s="91" customFormat="1" ht="12.75">
      <c r="B16" s="100"/>
      <c r="D16" s="101"/>
      <c r="E16" s="102"/>
      <c r="I16" s="102"/>
    </row>
    <row r="17" spans="1:9" s="40" customFormat="1" ht="20.25">
      <c r="A17" s="241" t="s">
        <v>92</v>
      </c>
      <c r="B17" s="241"/>
      <c r="C17" s="241"/>
      <c r="D17" s="241"/>
      <c r="E17" s="241"/>
      <c r="F17" s="241"/>
      <c r="G17" s="241"/>
      <c r="H17" s="241"/>
      <c r="I17" s="241"/>
    </row>
    <row r="18" spans="1:9" s="40" customFormat="1" ht="18.75">
      <c r="A18" s="242" t="s">
        <v>188</v>
      </c>
      <c r="B18" s="242"/>
      <c r="C18" s="242"/>
      <c r="D18" s="242"/>
      <c r="E18" s="242"/>
      <c r="F18" s="242"/>
      <c r="G18" s="242"/>
      <c r="H18" s="242"/>
      <c r="I18" s="242"/>
    </row>
    <row r="19" spans="1:9" s="40" customFormat="1" ht="18.75">
      <c r="A19" s="244" t="s">
        <v>93</v>
      </c>
      <c r="B19" s="244"/>
      <c r="C19" s="244"/>
      <c r="D19" s="244"/>
      <c r="E19" s="244"/>
      <c r="F19" s="244"/>
      <c r="G19" s="244"/>
      <c r="H19" s="244"/>
      <c r="I19" s="244"/>
    </row>
    <row r="20" spans="1:9" s="40" customFormat="1" ht="18.75" customHeight="1">
      <c r="A20" s="235" t="s">
        <v>94</v>
      </c>
      <c r="B20" s="236"/>
      <c r="C20" s="237" t="s">
        <v>95</v>
      </c>
      <c r="D20" s="237"/>
      <c r="E20" s="237"/>
      <c r="F20" s="237"/>
      <c r="G20" s="243">
        <f>H22+H28+H30+H44+H76+H80+H88+I103</f>
        <v>1750850</v>
      </c>
      <c r="H20" s="243"/>
      <c r="I20" s="243"/>
    </row>
    <row r="21" spans="1:9" s="40" customFormat="1" ht="9.75" customHeight="1">
      <c r="A21" s="41"/>
      <c r="B21" s="37"/>
      <c r="C21" s="37"/>
      <c r="D21" s="37"/>
      <c r="E21" s="37"/>
      <c r="F21" s="37"/>
      <c r="G21" s="37"/>
      <c r="H21" s="37"/>
      <c r="I21" s="37"/>
    </row>
    <row r="22" spans="1:9" s="40" customFormat="1" ht="18.75">
      <c r="A22" s="42" t="s">
        <v>96</v>
      </c>
      <c r="B22" s="201" t="str">
        <f>'[1]2013-2.2'!$B$10</f>
        <v>Оплата праці</v>
      </c>
      <c r="C22" s="201"/>
      <c r="D22" s="201"/>
      <c r="E22" s="201"/>
      <c r="F22" s="201"/>
      <c r="G22" s="201"/>
      <c r="H22" s="200">
        <f>H26</f>
        <v>1116800</v>
      </c>
      <c r="I22" s="200"/>
    </row>
    <row r="23" spans="1:9" s="40" customFormat="1" ht="7.5" customHeight="1" thickBot="1">
      <c r="A23" s="43"/>
      <c r="B23" s="37"/>
      <c r="C23" s="37"/>
      <c r="D23" s="37"/>
      <c r="E23" s="37"/>
      <c r="F23" s="37"/>
      <c r="G23" s="37"/>
      <c r="H23" s="37"/>
      <c r="I23" s="37"/>
    </row>
    <row r="24" spans="1:9" s="40" customFormat="1" ht="12.75" customHeight="1">
      <c r="A24" s="227" t="s">
        <v>97</v>
      </c>
      <c r="B24" s="227" t="s">
        <v>98</v>
      </c>
      <c r="C24" s="221" t="s">
        <v>99</v>
      </c>
      <c r="D24" s="221" t="s">
        <v>100</v>
      </c>
      <c r="E24" s="221" t="s">
        <v>208</v>
      </c>
      <c r="F24" s="221" t="s">
        <v>209</v>
      </c>
      <c r="G24" s="225" t="s">
        <v>101</v>
      </c>
      <c r="H24" s="221" t="s">
        <v>102</v>
      </c>
      <c r="I24" s="222"/>
    </row>
    <row r="25" spans="1:9" s="40" customFormat="1" ht="36.75" customHeight="1" thickBot="1">
      <c r="A25" s="228"/>
      <c r="B25" s="228"/>
      <c r="C25" s="223"/>
      <c r="D25" s="223"/>
      <c r="E25" s="223"/>
      <c r="F25" s="223"/>
      <c r="G25" s="226"/>
      <c r="H25" s="223"/>
      <c r="I25" s="224"/>
    </row>
    <row r="26" spans="1:10" s="40" customFormat="1" ht="15.75" thickBot="1">
      <c r="A26" s="44">
        <v>15</v>
      </c>
      <c r="B26" s="44">
        <f>ROUND('[2]зп'!H48*12/100,0)*100</f>
        <v>761100</v>
      </c>
      <c r="C26" s="44">
        <f>ROUND('[2]зп'!N48*12/100,0)*100</f>
        <v>15900</v>
      </c>
      <c r="D26" s="44">
        <f>ROUND('[2]зп'!I48*12/100,0)*100</f>
        <v>119000</v>
      </c>
      <c r="E26" s="44">
        <f>ROUND('[2]зп'!L48*12/100,0)*100</f>
        <v>53000</v>
      </c>
      <c r="F26" s="44">
        <f>ROUND('[2]зп'!M48*12/100,0)*100</f>
        <v>104400</v>
      </c>
      <c r="G26" s="44">
        <f>ROUND('[2]зп'!H48/100,0)*100</f>
        <v>63400</v>
      </c>
      <c r="H26" s="233">
        <f>SUM(B26:G26)</f>
        <v>1116800</v>
      </c>
      <c r="I26" s="234"/>
      <c r="J26" s="103"/>
    </row>
    <row r="27" spans="1:9" s="40" customFormat="1" ht="10.5" customHeight="1">
      <c r="A27" s="43"/>
      <c r="B27" s="37"/>
      <c r="C27" s="37"/>
      <c r="D27" s="37"/>
      <c r="E27" s="37"/>
      <c r="F27" s="45"/>
      <c r="G27" s="45"/>
      <c r="H27" s="37"/>
      <c r="I27" s="37"/>
    </row>
    <row r="28" spans="1:9" s="40" customFormat="1" ht="18.75" customHeight="1">
      <c r="A28" s="46" t="s">
        <v>103</v>
      </c>
      <c r="B28" s="229" t="s">
        <v>104</v>
      </c>
      <c r="C28" s="230"/>
      <c r="D28" s="230"/>
      <c r="E28" s="230"/>
      <c r="F28" s="230"/>
      <c r="G28" s="231"/>
      <c r="H28" s="200">
        <f>'[2]зп'!E58</f>
        <v>245700</v>
      </c>
      <c r="I28" s="200"/>
    </row>
    <row r="29" spans="1:9" s="40" customFormat="1" ht="9" customHeight="1">
      <c r="A29" s="47"/>
      <c r="B29" s="48"/>
      <c r="C29" s="49"/>
      <c r="D29" s="37"/>
      <c r="E29" s="37"/>
      <c r="F29" s="37"/>
      <c r="G29" s="37"/>
      <c r="H29" s="37"/>
      <c r="I29" s="37"/>
    </row>
    <row r="30" spans="1:10" s="40" customFormat="1" ht="18.75">
      <c r="A30" s="42" t="s">
        <v>105</v>
      </c>
      <c r="B30" s="201" t="str">
        <f>'[1]2013-2.2'!$B$13</f>
        <v>Предмети, матеріали, обладнання та інвентар</v>
      </c>
      <c r="C30" s="201"/>
      <c r="D30" s="201"/>
      <c r="E30" s="201"/>
      <c r="F30" s="201"/>
      <c r="G30" s="201"/>
      <c r="H30" s="200">
        <f>SUM(I33:I42)</f>
        <v>166500</v>
      </c>
      <c r="I30" s="200"/>
      <c r="J30" s="72"/>
    </row>
    <row r="31" spans="1:9" s="40" customFormat="1" ht="12.75">
      <c r="A31" s="50"/>
      <c r="B31" s="37"/>
      <c r="C31" s="37"/>
      <c r="D31" s="37"/>
      <c r="E31" s="37"/>
      <c r="F31" s="37"/>
      <c r="G31" s="37"/>
      <c r="H31" s="37"/>
      <c r="I31" s="37"/>
    </row>
    <row r="32" spans="1:9" s="40" customFormat="1" ht="15.75">
      <c r="A32" s="232" t="s">
        <v>106</v>
      </c>
      <c r="B32" s="232"/>
      <c r="C32" s="232"/>
      <c r="D32" s="232"/>
      <c r="E32" s="232"/>
      <c r="F32" s="232"/>
      <c r="G32" s="35" t="s">
        <v>107</v>
      </c>
      <c r="H32" s="35" t="s">
        <v>108</v>
      </c>
      <c r="I32" s="35" t="s">
        <v>109</v>
      </c>
    </row>
    <row r="33" spans="1:9" s="40" customFormat="1" ht="15.75">
      <c r="A33" s="202" t="s">
        <v>110</v>
      </c>
      <c r="B33" s="202"/>
      <c r="C33" s="202"/>
      <c r="D33" s="202"/>
      <c r="E33" s="202"/>
      <c r="F33" s="202"/>
      <c r="G33" s="35" t="s">
        <v>111</v>
      </c>
      <c r="H33" s="35" t="s">
        <v>111</v>
      </c>
      <c r="I33" s="51">
        <v>7000</v>
      </c>
    </row>
    <row r="34" spans="1:9" s="40" customFormat="1" ht="15.75">
      <c r="A34" s="202" t="s">
        <v>112</v>
      </c>
      <c r="B34" s="202"/>
      <c r="C34" s="202"/>
      <c r="D34" s="202"/>
      <c r="E34" s="202"/>
      <c r="F34" s="202"/>
      <c r="G34" s="35" t="s">
        <v>111</v>
      </c>
      <c r="H34" s="35" t="s">
        <v>111</v>
      </c>
      <c r="I34" s="51">
        <v>1000</v>
      </c>
    </row>
    <row r="35" spans="1:9" s="40" customFormat="1" ht="15.75">
      <c r="A35" s="202" t="s">
        <v>113</v>
      </c>
      <c r="B35" s="202"/>
      <c r="C35" s="202"/>
      <c r="D35" s="202"/>
      <c r="E35" s="202"/>
      <c r="F35" s="202"/>
      <c r="G35" s="35">
        <v>60</v>
      </c>
      <c r="H35" s="35">
        <v>85</v>
      </c>
      <c r="I35" s="51">
        <f>G35*H35</f>
        <v>5100</v>
      </c>
    </row>
    <row r="36" spans="1:9" s="40" customFormat="1" ht="15.75">
      <c r="A36" s="202" t="s">
        <v>114</v>
      </c>
      <c r="B36" s="202"/>
      <c r="C36" s="202"/>
      <c r="D36" s="202"/>
      <c r="E36" s="202"/>
      <c r="F36" s="202"/>
      <c r="G36" s="35">
        <v>1</v>
      </c>
      <c r="H36" s="35">
        <v>6000</v>
      </c>
      <c r="I36" s="51">
        <f>H36*G36</f>
        <v>6000</v>
      </c>
    </row>
    <row r="37" spans="1:9" s="40" customFormat="1" ht="15.75">
      <c r="A37" s="202" t="s">
        <v>115</v>
      </c>
      <c r="B37" s="202"/>
      <c r="C37" s="202"/>
      <c r="D37" s="202"/>
      <c r="E37" s="202"/>
      <c r="F37" s="202"/>
      <c r="G37" s="35">
        <v>3</v>
      </c>
      <c r="H37" s="35">
        <v>2000</v>
      </c>
      <c r="I37" s="51">
        <f>G37*H37</f>
        <v>6000</v>
      </c>
    </row>
    <row r="38" spans="1:9" s="40" customFormat="1" ht="15.75">
      <c r="A38" s="202" t="s">
        <v>189</v>
      </c>
      <c r="B38" s="202"/>
      <c r="C38" s="202"/>
      <c r="D38" s="202"/>
      <c r="E38" s="202"/>
      <c r="F38" s="202"/>
      <c r="G38" s="35">
        <v>500</v>
      </c>
      <c r="H38" s="35">
        <v>160</v>
      </c>
      <c r="I38" s="51">
        <f>G38*H38</f>
        <v>80000</v>
      </c>
    </row>
    <row r="39" spans="1:9" s="40" customFormat="1" ht="36.75" customHeight="1">
      <c r="A39" s="202" t="s">
        <v>212</v>
      </c>
      <c r="B39" s="202"/>
      <c r="C39" s="202"/>
      <c r="D39" s="202"/>
      <c r="E39" s="202"/>
      <c r="F39" s="202"/>
      <c r="G39" s="35">
        <v>500</v>
      </c>
      <c r="H39" s="35">
        <v>100</v>
      </c>
      <c r="I39" s="51">
        <f>G39*H39</f>
        <v>50000</v>
      </c>
    </row>
    <row r="40" spans="1:9" s="40" customFormat="1" ht="15.75">
      <c r="A40" s="202" t="s">
        <v>190</v>
      </c>
      <c r="B40" s="202"/>
      <c r="C40" s="202"/>
      <c r="D40" s="202"/>
      <c r="E40" s="202"/>
      <c r="F40" s="202"/>
      <c r="G40" s="35">
        <v>2</v>
      </c>
      <c r="H40" s="35">
        <v>450</v>
      </c>
      <c r="I40" s="51">
        <f>G40*H40</f>
        <v>900</v>
      </c>
    </row>
    <row r="41" spans="1:9" s="40" customFormat="1" ht="15.75">
      <c r="A41" s="202" t="s">
        <v>213</v>
      </c>
      <c r="B41" s="202"/>
      <c r="C41" s="202"/>
      <c r="D41" s="202"/>
      <c r="E41" s="202"/>
      <c r="F41" s="202"/>
      <c r="G41" s="35" t="s">
        <v>111</v>
      </c>
      <c r="H41" s="35" t="s">
        <v>111</v>
      </c>
      <c r="I41" s="51">
        <v>5500</v>
      </c>
    </row>
    <row r="42" spans="1:9" s="40" customFormat="1" ht="15.75">
      <c r="A42" s="202" t="s">
        <v>191</v>
      </c>
      <c r="B42" s="202"/>
      <c r="C42" s="202"/>
      <c r="D42" s="202"/>
      <c r="E42" s="202"/>
      <c r="F42" s="202"/>
      <c r="G42" s="35" t="s">
        <v>111</v>
      </c>
      <c r="H42" s="35" t="s">
        <v>111</v>
      </c>
      <c r="I42" s="51">
        <v>5000</v>
      </c>
    </row>
    <row r="43" spans="1:9" s="40" customFormat="1" ht="9" customHeight="1">
      <c r="A43" s="52"/>
      <c r="B43" s="52"/>
      <c r="C43" s="52"/>
      <c r="D43" s="52"/>
      <c r="E43" s="52"/>
      <c r="F43" s="52"/>
      <c r="G43" s="53"/>
      <c r="H43" s="53"/>
      <c r="I43" s="54"/>
    </row>
    <row r="44" spans="1:10" s="40" customFormat="1" ht="18.75">
      <c r="A44" s="42" t="s">
        <v>116</v>
      </c>
      <c r="B44" s="201" t="str">
        <f>'[1]2013-2.2'!$B$16</f>
        <v>Оплата послуг (крім комунальних) </v>
      </c>
      <c r="C44" s="201"/>
      <c r="D44" s="201"/>
      <c r="E44" s="201"/>
      <c r="F44" s="201"/>
      <c r="G44" s="201"/>
      <c r="H44" s="256">
        <f>SUM(I47:I63)</f>
        <v>160000</v>
      </c>
      <c r="I44" s="256"/>
      <c r="J44" s="72"/>
    </row>
    <row r="45" spans="1:9" s="40" customFormat="1" ht="5.25" customHeight="1">
      <c r="A45" s="55"/>
      <c r="B45" s="37"/>
      <c r="C45" s="37"/>
      <c r="D45" s="37"/>
      <c r="E45" s="37"/>
      <c r="F45" s="37"/>
      <c r="G45" s="37"/>
      <c r="H45" s="37"/>
      <c r="I45" s="37"/>
    </row>
    <row r="46" spans="1:9" s="40" customFormat="1" ht="15.75">
      <c r="A46" s="196" t="s">
        <v>106</v>
      </c>
      <c r="B46" s="196"/>
      <c r="C46" s="196"/>
      <c r="D46" s="196"/>
      <c r="E46" s="196"/>
      <c r="F46" s="196"/>
      <c r="G46" s="36" t="s">
        <v>107</v>
      </c>
      <c r="H46" s="36" t="s">
        <v>108</v>
      </c>
      <c r="I46" s="36" t="s">
        <v>109</v>
      </c>
    </row>
    <row r="47" spans="1:9" s="40" customFormat="1" ht="19.5" customHeight="1">
      <c r="A47" s="195" t="s">
        <v>117</v>
      </c>
      <c r="B47" s="195"/>
      <c r="C47" s="195"/>
      <c r="D47" s="195"/>
      <c r="E47" s="195"/>
      <c r="F47" s="195"/>
      <c r="G47" s="36" t="s">
        <v>111</v>
      </c>
      <c r="H47" s="36" t="s">
        <v>111</v>
      </c>
      <c r="I47" s="57">
        <v>500</v>
      </c>
    </row>
    <row r="48" spans="1:9" s="40" customFormat="1" ht="15.75">
      <c r="A48" s="195" t="s">
        <v>118</v>
      </c>
      <c r="B48" s="195"/>
      <c r="C48" s="195"/>
      <c r="D48" s="195"/>
      <c r="E48" s="195"/>
      <c r="F48" s="195"/>
      <c r="G48" s="36">
        <v>20</v>
      </c>
      <c r="H48" s="36">
        <v>140</v>
      </c>
      <c r="I48" s="57">
        <f>H48*G48</f>
        <v>2800</v>
      </c>
    </row>
    <row r="49" spans="1:9" s="40" customFormat="1" ht="15.75">
      <c r="A49" s="195" t="s">
        <v>119</v>
      </c>
      <c r="B49" s="195"/>
      <c r="C49" s="195"/>
      <c r="D49" s="195"/>
      <c r="E49" s="195"/>
      <c r="F49" s="195"/>
      <c r="G49" s="36" t="s">
        <v>111</v>
      </c>
      <c r="H49" s="36" t="s">
        <v>111</v>
      </c>
      <c r="I49" s="57">
        <v>3000</v>
      </c>
    </row>
    <row r="50" spans="1:9" s="40" customFormat="1" ht="15.75">
      <c r="A50" s="195" t="s">
        <v>120</v>
      </c>
      <c r="B50" s="195"/>
      <c r="C50" s="195"/>
      <c r="D50" s="195"/>
      <c r="E50" s="195"/>
      <c r="F50" s="195"/>
      <c r="G50" s="36">
        <v>4</v>
      </c>
      <c r="H50" s="36">
        <f>150/2</f>
        <v>75</v>
      </c>
      <c r="I50" s="57">
        <f>H50*G50</f>
        <v>300</v>
      </c>
    </row>
    <row r="51" spans="1:9" s="40" customFormat="1" ht="19.5" customHeight="1">
      <c r="A51" s="195" t="s">
        <v>121</v>
      </c>
      <c r="B51" s="195"/>
      <c r="C51" s="195"/>
      <c r="D51" s="195"/>
      <c r="E51" s="195"/>
      <c r="F51" s="195"/>
      <c r="G51" s="36">
        <v>12</v>
      </c>
      <c r="H51" s="36">
        <v>250</v>
      </c>
      <c r="I51" s="57">
        <f>H51*G51</f>
        <v>3000</v>
      </c>
    </row>
    <row r="52" spans="1:9" s="40" customFormat="1" ht="19.5" customHeight="1">
      <c r="A52" s="195" t="s">
        <v>122</v>
      </c>
      <c r="B52" s="195"/>
      <c r="C52" s="195"/>
      <c r="D52" s="195"/>
      <c r="E52" s="195"/>
      <c r="F52" s="195"/>
      <c r="G52" s="36">
        <v>12</v>
      </c>
      <c r="H52" s="36">
        <v>400</v>
      </c>
      <c r="I52" s="57">
        <f>H52*G52</f>
        <v>4800</v>
      </c>
    </row>
    <row r="53" spans="1:9" s="40" customFormat="1" ht="19.5" customHeight="1">
      <c r="A53" s="195" t="s">
        <v>123</v>
      </c>
      <c r="B53" s="195"/>
      <c r="C53" s="195"/>
      <c r="D53" s="195"/>
      <c r="E53" s="195"/>
      <c r="F53" s="195"/>
      <c r="G53" s="36">
        <v>4</v>
      </c>
      <c r="H53" s="36">
        <v>3500</v>
      </c>
      <c r="I53" s="57">
        <f>H53*G53</f>
        <v>14000</v>
      </c>
    </row>
    <row r="54" spans="1:9" s="40" customFormat="1" ht="35.25" customHeight="1">
      <c r="A54" s="195" t="s">
        <v>124</v>
      </c>
      <c r="B54" s="195"/>
      <c r="C54" s="195"/>
      <c r="D54" s="195"/>
      <c r="E54" s="195"/>
      <c r="F54" s="195"/>
      <c r="G54" s="36" t="s">
        <v>111</v>
      </c>
      <c r="H54" s="36" t="s">
        <v>111</v>
      </c>
      <c r="I54" s="57">
        <v>1600</v>
      </c>
    </row>
    <row r="55" spans="1:9" s="40" customFormat="1" ht="15.75">
      <c r="A55" s="202" t="s">
        <v>192</v>
      </c>
      <c r="B55" s="202"/>
      <c r="C55" s="202"/>
      <c r="D55" s="202"/>
      <c r="E55" s="202"/>
      <c r="F55" s="202"/>
      <c r="G55" s="35" t="s">
        <v>111</v>
      </c>
      <c r="H55" s="35" t="s">
        <v>111</v>
      </c>
      <c r="I55" s="57">
        <v>4400</v>
      </c>
    </row>
    <row r="56" spans="1:9" s="40" customFormat="1" ht="19.5" customHeight="1">
      <c r="A56" s="195" t="s">
        <v>193</v>
      </c>
      <c r="B56" s="195"/>
      <c r="C56" s="195"/>
      <c r="D56" s="195"/>
      <c r="E56" s="195"/>
      <c r="F56" s="195"/>
      <c r="G56" s="36">
        <v>12</v>
      </c>
      <c r="H56" s="60">
        <f>ROUND(G69+H69,0)</f>
        <v>3600</v>
      </c>
      <c r="I56" s="57">
        <f>ROUND(H56*G56,0)</f>
        <v>43200</v>
      </c>
    </row>
    <row r="57" spans="1:9" s="40" customFormat="1" ht="19.5" customHeight="1">
      <c r="A57" s="195" t="s">
        <v>125</v>
      </c>
      <c r="B57" s="195"/>
      <c r="C57" s="195"/>
      <c r="D57" s="195"/>
      <c r="E57" s="195"/>
      <c r="F57" s="195"/>
      <c r="G57" s="36">
        <v>12</v>
      </c>
      <c r="H57" s="36">
        <v>1200</v>
      </c>
      <c r="I57" s="57">
        <f>ROUND(H57*G57,0)</f>
        <v>14400</v>
      </c>
    </row>
    <row r="58" spans="1:9" s="40" customFormat="1" ht="34.5" customHeight="1">
      <c r="A58" s="193" t="s">
        <v>194</v>
      </c>
      <c r="B58" s="194"/>
      <c r="C58" s="194"/>
      <c r="D58" s="194"/>
      <c r="E58" s="194"/>
      <c r="F58" s="203"/>
      <c r="G58" s="36" t="s">
        <v>111</v>
      </c>
      <c r="H58" s="36" t="s">
        <v>111</v>
      </c>
      <c r="I58" s="57">
        <v>10000</v>
      </c>
    </row>
    <row r="59" spans="1:9" s="40" customFormat="1" ht="34.5" customHeight="1">
      <c r="A59" s="193" t="s">
        <v>210</v>
      </c>
      <c r="B59" s="194"/>
      <c r="C59" s="194"/>
      <c r="D59" s="194"/>
      <c r="E59" s="194"/>
      <c r="F59" s="203"/>
      <c r="G59" s="36" t="s">
        <v>111</v>
      </c>
      <c r="H59" s="36" t="s">
        <v>111</v>
      </c>
      <c r="I59" s="57">
        <v>10000</v>
      </c>
    </row>
    <row r="60" spans="1:9" s="40" customFormat="1" ht="15.75">
      <c r="A60" s="193" t="s">
        <v>126</v>
      </c>
      <c r="B60" s="194"/>
      <c r="C60" s="194"/>
      <c r="D60" s="194"/>
      <c r="E60" s="194"/>
      <c r="F60" s="203"/>
      <c r="G60" s="36" t="s">
        <v>111</v>
      </c>
      <c r="H60" s="36" t="s">
        <v>111</v>
      </c>
      <c r="I60" s="57">
        <v>2000</v>
      </c>
    </row>
    <row r="61" spans="1:9" s="40" customFormat="1" ht="34.5" customHeight="1">
      <c r="A61" s="193" t="s">
        <v>214</v>
      </c>
      <c r="B61" s="194"/>
      <c r="C61" s="194"/>
      <c r="D61" s="194"/>
      <c r="E61" s="194"/>
      <c r="F61" s="203"/>
      <c r="G61" s="36">
        <v>3750</v>
      </c>
      <c r="H61" s="36">
        <v>8</v>
      </c>
      <c r="I61" s="57">
        <f>H61*G61</f>
        <v>30000</v>
      </c>
    </row>
    <row r="62" spans="1:9" s="40" customFormat="1" ht="15.75">
      <c r="A62" s="193" t="s">
        <v>127</v>
      </c>
      <c r="B62" s="194"/>
      <c r="C62" s="194"/>
      <c r="D62" s="194"/>
      <c r="E62" s="194"/>
      <c r="F62" s="203"/>
      <c r="G62" s="36">
        <v>200</v>
      </c>
      <c r="H62" s="36">
        <v>30</v>
      </c>
      <c r="I62" s="57">
        <f>H62*G62</f>
        <v>6000</v>
      </c>
    </row>
    <row r="63" spans="1:9" s="40" customFormat="1" ht="35.25" customHeight="1">
      <c r="A63" s="195" t="s">
        <v>128</v>
      </c>
      <c r="B63" s="195"/>
      <c r="C63" s="195"/>
      <c r="D63" s="195"/>
      <c r="E63" s="195"/>
      <c r="F63" s="195"/>
      <c r="G63" s="36" t="s">
        <v>111</v>
      </c>
      <c r="H63" s="36" t="s">
        <v>111</v>
      </c>
      <c r="I63" s="57">
        <v>10000</v>
      </c>
    </row>
    <row r="64" spans="1:9" s="40" customFormat="1" ht="15.75">
      <c r="A64" s="197" t="s">
        <v>129</v>
      </c>
      <c r="B64" s="197"/>
      <c r="C64" s="197"/>
      <c r="D64" s="197"/>
      <c r="E64" s="197"/>
      <c r="F64" s="197"/>
      <c r="G64" s="197"/>
      <c r="H64" s="197"/>
      <c r="I64" s="197"/>
    </row>
    <row r="65" spans="1:9" s="40" customFormat="1" ht="51">
      <c r="A65" s="58" t="s">
        <v>106</v>
      </c>
      <c r="B65" s="58" t="s">
        <v>130</v>
      </c>
      <c r="C65" s="58" t="s">
        <v>131</v>
      </c>
      <c r="D65" s="58" t="s">
        <v>7</v>
      </c>
      <c r="E65" s="58" t="s">
        <v>132</v>
      </c>
      <c r="F65" s="58" t="s">
        <v>133</v>
      </c>
      <c r="G65" s="58" t="s">
        <v>134</v>
      </c>
      <c r="H65" s="58" t="s">
        <v>135</v>
      </c>
      <c r="I65" s="58" t="s">
        <v>136</v>
      </c>
    </row>
    <row r="66" spans="1:11" s="40" customFormat="1" ht="15.75">
      <c r="A66" s="59" t="s">
        <v>137</v>
      </c>
      <c r="B66" s="39">
        <v>4</v>
      </c>
      <c r="C66" s="39">
        <f>4723*B66</f>
        <v>18892</v>
      </c>
      <c r="D66" s="39">
        <f>C66*0.22</f>
        <v>4156.24</v>
      </c>
      <c r="E66" s="39">
        <v>2733.4</v>
      </c>
      <c r="F66" s="36">
        <v>149</v>
      </c>
      <c r="G66" s="36">
        <f>ROUND(F66*(C66+D66)/E66,0)</f>
        <v>1256</v>
      </c>
      <c r="H66" s="60">
        <f>ROUND(G66*0.2,0)</f>
        <v>251</v>
      </c>
      <c r="I66" s="57">
        <f>ROUNDDOWN(ROUNDDOWN((G66+H66)*12,0)/100,0)*100</f>
        <v>18000</v>
      </c>
      <c r="J66" s="103"/>
      <c r="K66" s="103"/>
    </row>
    <row r="67" spans="1:9" s="40" customFormat="1" ht="15.75">
      <c r="A67" s="59" t="s">
        <v>138</v>
      </c>
      <c r="B67" s="39">
        <v>1</v>
      </c>
      <c r="C67" s="39">
        <v>4723</v>
      </c>
      <c r="D67" s="39">
        <f>C67*0.22</f>
        <v>1039.06</v>
      </c>
      <c r="E67" s="39">
        <v>2733.4</v>
      </c>
      <c r="F67" s="36">
        <v>149</v>
      </c>
      <c r="G67" s="36">
        <f>ROUND(F67*(C67+D67)/E67,0)</f>
        <v>314</v>
      </c>
      <c r="H67" s="60">
        <f>ROUND(G67*0.2,0)</f>
        <v>63</v>
      </c>
      <c r="I67" s="57">
        <f>ROUND(ROUND((G67+H67)*12,0)/100,0)*100</f>
        <v>4500</v>
      </c>
    </row>
    <row r="68" spans="1:10" s="40" customFormat="1" ht="15.75">
      <c r="A68" s="59" t="s">
        <v>139</v>
      </c>
      <c r="B68" s="39">
        <v>1</v>
      </c>
      <c r="C68" s="39">
        <f>C67/4</f>
        <v>1180.75</v>
      </c>
      <c r="D68" s="104">
        <f>C68*0.22</f>
        <v>259.765</v>
      </c>
      <c r="E68" s="39"/>
      <c r="F68" s="39"/>
      <c r="G68" s="181">
        <f>ROUND(B68*(C68+D68),0)</f>
        <v>1441</v>
      </c>
      <c r="H68" s="60">
        <f>ROUND(G68*0.2,0)</f>
        <v>288</v>
      </c>
      <c r="I68" s="57">
        <f>ROUND(ROUND((G68+H68)*12,0)/100,0)*100</f>
        <v>20700</v>
      </c>
      <c r="J68" s="103"/>
    </row>
    <row r="69" spans="1:9" s="40" customFormat="1" ht="15.75">
      <c r="A69" s="61" t="s">
        <v>140</v>
      </c>
      <c r="B69" s="62">
        <f>SUM(B66:B68)</f>
        <v>6</v>
      </c>
      <c r="C69" s="62"/>
      <c r="D69" s="62"/>
      <c r="E69" s="62"/>
      <c r="F69" s="62"/>
      <c r="G69" s="63">
        <f>ROUND(SUM(G66:G68),0)-11</f>
        <v>3000</v>
      </c>
      <c r="H69" s="105">
        <f>ROUNDDOWN(SUM(H66:H68),0)-2</f>
        <v>600</v>
      </c>
      <c r="I69" s="64">
        <f>SUM(I66:I68)</f>
        <v>43200</v>
      </c>
    </row>
    <row r="70" spans="1:9" s="40" customFormat="1" ht="14.25">
      <c r="A70" s="254" t="s">
        <v>141</v>
      </c>
      <c r="B70" s="254"/>
      <c r="C70" s="254"/>
      <c r="D70" s="254"/>
      <c r="E70" s="254"/>
      <c r="F70" s="254"/>
      <c r="G70" s="254"/>
      <c r="H70" s="254"/>
      <c r="I70" s="254"/>
    </row>
    <row r="71" spans="1:9" s="40" customFormat="1" ht="36">
      <c r="A71" s="255" t="s">
        <v>106</v>
      </c>
      <c r="B71" s="255"/>
      <c r="C71" s="106" t="s">
        <v>142</v>
      </c>
      <c r="D71" s="107" t="s">
        <v>143</v>
      </c>
      <c r="E71" s="106" t="s">
        <v>144</v>
      </c>
      <c r="F71" s="255" t="s">
        <v>145</v>
      </c>
      <c r="G71" s="255"/>
      <c r="H71" s="106" t="s">
        <v>146</v>
      </c>
      <c r="I71" s="106" t="s">
        <v>147</v>
      </c>
    </row>
    <row r="72" spans="1:9" s="40" customFormat="1" ht="15.75">
      <c r="A72" s="253" t="s">
        <v>215</v>
      </c>
      <c r="B72" s="253"/>
      <c r="C72" s="36">
        <v>300</v>
      </c>
      <c r="D72" s="56">
        <v>115</v>
      </c>
      <c r="E72" s="36">
        <v>3</v>
      </c>
      <c r="F72" s="196">
        <f>C72*E72+D72*E72</f>
        <v>1245</v>
      </c>
      <c r="G72" s="196"/>
      <c r="H72" s="60">
        <v>8</v>
      </c>
      <c r="I72" s="36">
        <f>F72*H72</f>
        <v>9960</v>
      </c>
    </row>
    <row r="73" spans="1:9" s="40" customFormat="1" ht="15.75">
      <c r="A73" s="253" t="s">
        <v>148</v>
      </c>
      <c r="B73" s="253"/>
      <c r="C73" s="36">
        <v>345</v>
      </c>
      <c r="D73" s="56">
        <v>156</v>
      </c>
      <c r="E73" s="36">
        <v>5</v>
      </c>
      <c r="F73" s="196">
        <f>C73*E73+D73*E73</f>
        <v>2505</v>
      </c>
      <c r="G73" s="196"/>
      <c r="H73" s="60">
        <v>8</v>
      </c>
      <c r="I73" s="36">
        <f>F73*H73</f>
        <v>20040</v>
      </c>
    </row>
    <row r="74" spans="1:9" s="40" customFormat="1" ht="15.75">
      <c r="A74" s="253" t="s">
        <v>35</v>
      </c>
      <c r="B74" s="253"/>
      <c r="C74" s="36" t="s">
        <v>111</v>
      </c>
      <c r="D74" s="36" t="s">
        <v>111</v>
      </c>
      <c r="E74" s="36">
        <f>SUM(E72:E73)</f>
        <v>8</v>
      </c>
      <c r="F74" s="196">
        <f>SUM(F72:G73)</f>
        <v>3750</v>
      </c>
      <c r="G74" s="196"/>
      <c r="H74" s="36" t="s">
        <v>111</v>
      </c>
      <c r="I74" s="36">
        <f>SUM(I72:I73)</f>
        <v>30000</v>
      </c>
    </row>
    <row r="75" spans="1:9" s="40" customFormat="1" ht="15.75">
      <c r="A75" s="65"/>
      <c r="B75" s="66"/>
      <c r="C75" s="66"/>
      <c r="D75" s="66"/>
      <c r="E75" s="66"/>
      <c r="F75" s="66"/>
      <c r="G75" s="67"/>
      <c r="H75" s="67"/>
      <c r="I75" s="68"/>
    </row>
    <row r="76" spans="1:9" s="40" customFormat="1" ht="18.75">
      <c r="A76" s="42" t="s">
        <v>152</v>
      </c>
      <c r="B76" s="201" t="s">
        <v>26</v>
      </c>
      <c r="C76" s="201"/>
      <c r="D76" s="201"/>
      <c r="E76" s="201"/>
      <c r="F76" s="201"/>
      <c r="G76" s="201"/>
      <c r="H76" s="200">
        <f>SUM(I78:I78)</f>
        <v>100</v>
      </c>
      <c r="I76" s="200"/>
    </row>
    <row r="77" spans="1:9" s="40" customFormat="1" ht="12.75">
      <c r="A77" s="70"/>
      <c r="B77" s="37"/>
      <c r="C77" s="37"/>
      <c r="D77" s="37"/>
      <c r="E77" s="37"/>
      <c r="F77" s="37"/>
      <c r="G77" s="37"/>
      <c r="H77" s="37"/>
      <c r="I77" s="37"/>
    </row>
    <row r="78" spans="1:9" s="40" customFormat="1" ht="18.75">
      <c r="A78" s="245" t="s">
        <v>153</v>
      </c>
      <c r="B78" s="245"/>
      <c r="C78" s="245"/>
      <c r="D78" s="245"/>
      <c r="E78" s="245"/>
      <c r="F78" s="245"/>
      <c r="G78" s="36" t="s">
        <v>111</v>
      </c>
      <c r="H78" s="36" t="s">
        <v>111</v>
      </c>
      <c r="I78" s="57">
        <v>100</v>
      </c>
    </row>
    <row r="79" spans="1:9" s="40" customFormat="1" ht="12.75">
      <c r="A79" s="70"/>
      <c r="B79" s="37"/>
      <c r="C79" s="37"/>
      <c r="D79" s="37"/>
      <c r="E79" s="37"/>
      <c r="F79" s="37"/>
      <c r="G79" s="37"/>
      <c r="H79" s="37"/>
      <c r="I79" s="37"/>
    </row>
    <row r="80" spans="1:9" s="40" customFormat="1" ht="18.75">
      <c r="A80" s="42" t="s">
        <v>154</v>
      </c>
      <c r="B80" s="201" t="str">
        <f>'[1]2013-2.2'!$B$17</f>
        <v>Видатки на відрядження</v>
      </c>
      <c r="C80" s="201"/>
      <c r="D80" s="201"/>
      <c r="E80" s="201"/>
      <c r="F80" s="201"/>
      <c r="G80" s="201"/>
      <c r="H80" s="200">
        <f>SUM(I83:I86)</f>
        <v>4500</v>
      </c>
      <c r="I80" s="200"/>
    </row>
    <row r="81" spans="1:9" s="40" customFormat="1" ht="12.75">
      <c r="A81" s="71"/>
      <c r="B81" s="37"/>
      <c r="C81" s="37"/>
      <c r="D81" s="37"/>
      <c r="E81" s="37"/>
      <c r="F81" s="37"/>
      <c r="G81" s="37"/>
      <c r="H81" s="37"/>
      <c r="I81" s="37"/>
    </row>
    <row r="82" spans="1:9" s="40" customFormat="1" ht="12.75">
      <c r="A82" s="198" t="s">
        <v>155</v>
      </c>
      <c r="B82" s="199"/>
      <c r="C82" s="199"/>
      <c r="D82" s="199"/>
      <c r="E82" s="199"/>
      <c r="F82" s="69" t="s">
        <v>156</v>
      </c>
      <c r="G82" s="69" t="s">
        <v>107</v>
      </c>
      <c r="H82" s="69" t="s">
        <v>108</v>
      </c>
      <c r="I82" s="69" t="s">
        <v>109</v>
      </c>
    </row>
    <row r="83" spans="1:9" s="40" customFormat="1" ht="15.75">
      <c r="A83" s="193" t="s">
        <v>157</v>
      </c>
      <c r="B83" s="194"/>
      <c r="C83" s="194"/>
      <c r="D83" s="194"/>
      <c r="E83" s="194"/>
      <c r="F83" s="36">
        <v>6</v>
      </c>
      <c r="G83" s="36">
        <v>8</v>
      </c>
      <c r="H83" s="36">
        <v>60</v>
      </c>
      <c r="I83" s="57">
        <f>H83*G83*F83</f>
        <v>2880</v>
      </c>
    </row>
    <row r="84" spans="1:9" s="40" customFormat="1" ht="15.75">
      <c r="A84" s="193" t="s">
        <v>158</v>
      </c>
      <c r="B84" s="194"/>
      <c r="C84" s="194"/>
      <c r="D84" s="194"/>
      <c r="E84" s="194"/>
      <c r="F84" s="36">
        <v>1</v>
      </c>
      <c r="G84" s="36">
        <v>2</v>
      </c>
      <c r="H84" s="36">
        <v>300</v>
      </c>
      <c r="I84" s="57">
        <f>H84*G84*F84</f>
        <v>600</v>
      </c>
    </row>
    <row r="85" spans="1:9" s="40" customFormat="1" ht="15.75">
      <c r="A85" s="193" t="s">
        <v>159</v>
      </c>
      <c r="B85" s="194"/>
      <c r="C85" s="194"/>
      <c r="D85" s="194"/>
      <c r="E85" s="194"/>
      <c r="F85" s="36">
        <v>1</v>
      </c>
      <c r="G85" s="36">
        <v>2</v>
      </c>
      <c r="H85" s="36">
        <v>145</v>
      </c>
      <c r="I85" s="57">
        <f>H85*G85*F85</f>
        <v>290</v>
      </c>
    </row>
    <row r="86" spans="1:9" s="40" customFormat="1" ht="15.75" customHeight="1">
      <c r="A86" s="193" t="s">
        <v>160</v>
      </c>
      <c r="B86" s="194"/>
      <c r="C86" s="194"/>
      <c r="D86" s="194"/>
      <c r="E86" s="194"/>
      <c r="F86" s="36">
        <v>1</v>
      </c>
      <c r="G86" s="36">
        <v>2</v>
      </c>
      <c r="H86" s="36">
        <v>365</v>
      </c>
      <c r="I86" s="57">
        <f>H86*G86*F86</f>
        <v>730</v>
      </c>
    </row>
    <row r="87" spans="1:9" s="40" customFormat="1" ht="15.75">
      <c r="A87" s="73"/>
      <c r="B87" s="37"/>
      <c r="C87" s="37"/>
      <c r="D87" s="37"/>
      <c r="E87" s="37"/>
      <c r="F87" s="37"/>
      <c r="G87" s="37"/>
      <c r="H87" s="37"/>
      <c r="I87" s="37"/>
    </row>
    <row r="88" spans="1:9" s="40" customFormat="1" ht="18.75">
      <c r="A88" s="42" t="s">
        <v>161</v>
      </c>
      <c r="B88" s="74" t="str">
        <f>'[1]2013-2.2'!$B$18</f>
        <v>Оплата комунальних послуг та енергоносіїв</v>
      </c>
      <c r="C88" s="75"/>
      <c r="D88" s="75"/>
      <c r="E88" s="75"/>
      <c r="F88" s="75"/>
      <c r="G88" s="75"/>
      <c r="H88" s="200">
        <f>H90+H91+H92+H93</f>
        <v>55850</v>
      </c>
      <c r="I88" s="200"/>
    </row>
    <row r="89" spans="1:9" s="40" customFormat="1" ht="15.75">
      <c r="A89" s="76"/>
      <c r="B89" s="37"/>
      <c r="C89" s="37"/>
      <c r="D89" s="37"/>
      <c r="E89" s="37"/>
      <c r="F89" s="37"/>
      <c r="G89" s="37"/>
      <c r="H89" s="37"/>
      <c r="I89" s="37"/>
    </row>
    <row r="90" spans="1:9" s="40" customFormat="1" ht="18.75">
      <c r="A90" s="42" t="s">
        <v>162</v>
      </c>
      <c r="B90" s="250" t="s">
        <v>163</v>
      </c>
      <c r="C90" s="251"/>
      <c r="D90" s="251"/>
      <c r="E90" s="251"/>
      <c r="F90" s="251"/>
      <c r="G90" s="252"/>
      <c r="H90" s="249">
        <f>E101</f>
        <v>38900</v>
      </c>
      <c r="I90" s="249"/>
    </row>
    <row r="91" spans="1:9" s="40" customFormat="1" ht="18.75">
      <c r="A91" s="42" t="s">
        <v>164</v>
      </c>
      <c r="B91" s="250" t="s">
        <v>165</v>
      </c>
      <c r="C91" s="251"/>
      <c r="D91" s="251"/>
      <c r="E91" s="251"/>
      <c r="F91" s="251"/>
      <c r="G91" s="252"/>
      <c r="H91" s="249">
        <f>F101+G101</f>
        <v>750</v>
      </c>
      <c r="I91" s="249"/>
    </row>
    <row r="92" spans="1:9" s="40" customFormat="1" ht="18.75">
      <c r="A92" s="42" t="s">
        <v>166</v>
      </c>
      <c r="B92" s="250" t="s">
        <v>167</v>
      </c>
      <c r="C92" s="251"/>
      <c r="D92" s="251"/>
      <c r="E92" s="251"/>
      <c r="F92" s="251"/>
      <c r="G92" s="252"/>
      <c r="H92" s="249">
        <f>H101</f>
        <v>15500</v>
      </c>
      <c r="I92" s="249"/>
    </row>
    <row r="93" spans="1:9" s="40" customFormat="1" ht="18.75">
      <c r="A93" s="42" t="s">
        <v>195</v>
      </c>
      <c r="B93" s="250" t="s">
        <v>216</v>
      </c>
      <c r="C93" s="251"/>
      <c r="D93" s="251"/>
      <c r="E93" s="251"/>
      <c r="F93" s="251"/>
      <c r="G93" s="252"/>
      <c r="H93" s="249">
        <f>I101</f>
        <v>700</v>
      </c>
      <c r="I93" s="249"/>
    </row>
    <row r="94" spans="1:9" s="40" customFormat="1" ht="18.75">
      <c r="A94" s="77"/>
      <c r="B94" s="37"/>
      <c r="C94" s="37"/>
      <c r="D94" s="37"/>
      <c r="E94" s="37"/>
      <c r="F94" s="37"/>
      <c r="G94" s="37"/>
      <c r="H94" s="37"/>
      <c r="I94" s="37"/>
    </row>
    <row r="95" spans="1:9" s="37" customFormat="1" ht="37.5" customHeight="1">
      <c r="A95" s="207" t="s">
        <v>168</v>
      </c>
      <c r="B95" s="208"/>
      <c r="C95" s="208"/>
      <c r="D95" s="209"/>
      <c r="E95" s="58" t="s">
        <v>196</v>
      </c>
      <c r="F95" s="246" t="s">
        <v>169</v>
      </c>
      <c r="G95" s="246"/>
      <c r="H95" s="247" t="s">
        <v>170</v>
      </c>
      <c r="I95" s="247" t="s">
        <v>197</v>
      </c>
    </row>
    <row r="96" spans="1:9" s="37" customFormat="1" ht="25.5">
      <c r="A96" s="210"/>
      <c r="B96" s="211"/>
      <c r="C96" s="211"/>
      <c r="D96" s="212"/>
      <c r="E96" s="58" t="s">
        <v>171</v>
      </c>
      <c r="F96" s="108" t="s">
        <v>198</v>
      </c>
      <c r="G96" s="58" t="s">
        <v>172</v>
      </c>
      <c r="H96" s="248"/>
      <c r="I96" s="248"/>
    </row>
    <row r="97" spans="1:9" s="37" customFormat="1" ht="15.75" customHeight="1">
      <c r="A97" s="204" t="s">
        <v>199</v>
      </c>
      <c r="B97" s="205"/>
      <c r="C97" s="205"/>
      <c r="D97" s="206"/>
      <c r="E97" s="78">
        <v>19</v>
      </c>
      <c r="F97" s="78">
        <v>30</v>
      </c>
      <c r="G97" s="78">
        <v>30</v>
      </c>
      <c r="H97" s="78">
        <v>4900</v>
      </c>
      <c r="I97" s="78">
        <v>12</v>
      </c>
    </row>
    <row r="98" spans="1:9" s="37" customFormat="1" ht="15.75" customHeight="1">
      <c r="A98" s="204" t="s">
        <v>200</v>
      </c>
      <c r="B98" s="205"/>
      <c r="C98" s="205"/>
      <c r="D98" s="206"/>
      <c r="E98" s="78">
        <v>1705</v>
      </c>
      <c r="F98" s="78">
        <v>9.768</v>
      </c>
      <c r="G98" s="78">
        <v>10.704</v>
      </c>
      <c r="H98" s="78">
        <v>3.0825</v>
      </c>
      <c r="I98" s="78">
        <f>58/1.2</f>
        <v>48.333333333333336</v>
      </c>
    </row>
    <row r="99" spans="1:9" s="79" customFormat="1" ht="30" customHeight="1">
      <c r="A99" s="204" t="s">
        <v>201</v>
      </c>
      <c r="B99" s="205"/>
      <c r="C99" s="205"/>
      <c r="D99" s="206"/>
      <c r="E99" s="78">
        <f>ROUND(E98*1,2)</f>
        <v>1705</v>
      </c>
      <c r="F99" s="78">
        <f>F98</f>
        <v>9.768</v>
      </c>
      <c r="G99" s="78">
        <f>G98</f>
        <v>10.704</v>
      </c>
      <c r="H99" s="78">
        <f>ROUND(H98*1,2)</f>
        <v>3.08</v>
      </c>
      <c r="I99" s="78">
        <f>I98</f>
        <v>48.333333333333336</v>
      </c>
    </row>
    <row r="100" spans="1:9" s="79" customFormat="1" ht="15.75" customHeight="1">
      <c r="A100" s="204" t="s">
        <v>173</v>
      </c>
      <c r="B100" s="205"/>
      <c r="C100" s="205"/>
      <c r="D100" s="206"/>
      <c r="E100" s="78">
        <f>E99*1.2</f>
        <v>2046</v>
      </c>
      <c r="F100" s="78">
        <f>F99*1.2</f>
        <v>11.7216</v>
      </c>
      <c r="G100" s="78">
        <f>G99*1.2</f>
        <v>12.844800000000001</v>
      </c>
      <c r="H100" s="78">
        <f>ROUND((H97*0.024)*H99/10,0)*10</f>
        <v>360</v>
      </c>
      <c r="I100" s="78">
        <f>I99*1.2</f>
        <v>58</v>
      </c>
    </row>
    <row r="101" spans="1:9" s="80" customFormat="1" ht="15.75" customHeight="1">
      <c r="A101" s="215" t="s">
        <v>174</v>
      </c>
      <c r="B101" s="216"/>
      <c r="C101" s="216"/>
      <c r="D101" s="217"/>
      <c r="E101" s="109">
        <f>ROUND(ROUNDUP(E97*E100,0)/10,0)*10+30</f>
        <v>38900</v>
      </c>
      <c r="F101" s="110">
        <f>ROUND(ROUND(F97*F100,0)/10,0)*10</f>
        <v>350</v>
      </c>
      <c r="G101" s="111">
        <f>ROUND(ROUND(G97*G100,0)/10,0)*10+10</f>
        <v>400</v>
      </c>
      <c r="H101" s="111">
        <f>ROUNDUP(ROUNDUP(H97*H99,0)/10,0)*10+H100+40</f>
        <v>15500</v>
      </c>
      <c r="I101" s="111">
        <f>I97*I100+4</f>
        <v>700</v>
      </c>
    </row>
    <row r="102" spans="1:9" s="40" customFormat="1" ht="18.75">
      <c r="A102" s="81"/>
      <c r="B102" s="37"/>
      <c r="C102" s="37"/>
      <c r="D102" s="37"/>
      <c r="E102" s="37"/>
      <c r="F102" s="37"/>
      <c r="G102" s="37"/>
      <c r="H102" s="37"/>
      <c r="I102" s="37"/>
    </row>
    <row r="103" spans="1:18" ht="44.25" customHeight="1">
      <c r="A103" s="112" t="s">
        <v>149</v>
      </c>
      <c r="B103" s="257" t="s">
        <v>20</v>
      </c>
      <c r="C103" s="257"/>
      <c r="D103" s="257"/>
      <c r="E103" s="257"/>
      <c r="F103" s="257"/>
      <c r="G103" s="257"/>
      <c r="H103" s="257"/>
      <c r="I103" s="113">
        <f>SUM(I105:I106)</f>
        <v>1400</v>
      </c>
      <c r="J103" s="114"/>
      <c r="Q103" s="115"/>
      <c r="R103" s="115"/>
    </row>
    <row r="104" spans="1:18" ht="23.25" customHeight="1">
      <c r="A104" s="116"/>
      <c r="B104" s="117"/>
      <c r="C104" s="117"/>
      <c r="D104" s="117"/>
      <c r="E104" s="117"/>
      <c r="F104" s="117"/>
      <c r="G104" s="117"/>
      <c r="H104" s="117"/>
      <c r="I104" s="117"/>
      <c r="J104" s="117"/>
      <c r="Q104" s="115"/>
      <c r="R104" s="115"/>
    </row>
    <row r="105" spans="1:18" ht="18.75">
      <c r="A105" s="118" t="s">
        <v>150</v>
      </c>
      <c r="B105" s="119"/>
      <c r="C105" s="119"/>
      <c r="D105" s="119"/>
      <c r="E105" s="119"/>
      <c r="F105" s="120" t="s">
        <v>111</v>
      </c>
      <c r="G105" s="120">
        <v>2</v>
      </c>
      <c r="H105" s="120">
        <v>250</v>
      </c>
      <c r="I105" s="121">
        <f>H105*G105</f>
        <v>500</v>
      </c>
      <c r="J105" s="38"/>
      <c r="Q105" s="115"/>
      <c r="R105" s="115"/>
    </row>
    <row r="106" spans="1:18" ht="18.75">
      <c r="A106" s="118" t="s">
        <v>151</v>
      </c>
      <c r="B106" s="119"/>
      <c r="C106" s="119"/>
      <c r="D106" s="119"/>
      <c r="E106" s="119"/>
      <c r="F106" s="120" t="s">
        <v>111</v>
      </c>
      <c r="G106" s="120">
        <v>2</v>
      </c>
      <c r="H106" s="120">
        <v>450</v>
      </c>
      <c r="I106" s="121">
        <f>H106*G106</f>
        <v>900</v>
      </c>
      <c r="J106" s="38"/>
      <c r="Q106" s="115"/>
      <c r="R106" s="115"/>
    </row>
    <row r="107" spans="1:18" ht="18.75">
      <c r="A107" s="122"/>
      <c r="B107" s="122"/>
      <c r="C107" s="122"/>
      <c r="D107" s="122"/>
      <c r="E107" s="122"/>
      <c r="F107" s="122"/>
      <c r="G107" s="123"/>
      <c r="H107" s="123"/>
      <c r="I107" s="123"/>
      <c r="J107" s="124"/>
      <c r="Q107" s="115"/>
      <c r="R107" s="115"/>
    </row>
    <row r="108" spans="1:9" s="40" customFormat="1" ht="18.75">
      <c r="A108" s="81" t="s">
        <v>175</v>
      </c>
      <c r="B108" s="37"/>
      <c r="C108" s="37"/>
      <c r="D108" s="37"/>
      <c r="E108" s="37"/>
      <c r="F108" s="37"/>
      <c r="G108" s="81" t="s">
        <v>176</v>
      </c>
      <c r="H108" s="37"/>
      <c r="I108" s="37"/>
    </row>
    <row r="109" spans="1:9" s="40" customFormat="1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s="40" customFormat="1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22" s="40" customFormat="1" ht="15.75" hidden="1">
      <c r="A111" s="82" t="s">
        <v>177</v>
      </c>
      <c r="B111" s="83"/>
      <c r="C111" s="83"/>
      <c r="E111" s="84"/>
      <c r="F111" s="84"/>
      <c r="G111" s="86"/>
      <c r="H111" s="85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8" s="40" customFormat="1" ht="65.25" customHeight="1" hidden="1">
      <c r="A112" s="218" t="s">
        <v>178</v>
      </c>
      <c r="B112" s="218"/>
      <c r="C112" s="218"/>
      <c r="H112" s="87"/>
    </row>
    <row r="113" spans="1:8" s="40" customFormat="1" ht="29.25" customHeight="1" hidden="1">
      <c r="A113" s="213"/>
      <c r="B113" s="213"/>
      <c r="C113" s="214" t="s">
        <v>179</v>
      </c>
      <c r="D113" s="214"/>
      <c r="E113" s="214"/>
      <c r="F113" s="214"/>
      <c r="H113" s="87"/>
    </row>
    <row r="114" spans="1:8" s="40" customFormat="1" ht="15.75" hidden="1">
      <c r="A114" s="88"/>
      <c r="B114" s="89"/>
      <c r="C114" s="87"/>
      <c r="E114" s="88"/>
      <c r="F114" s="88"/>
      <c r="H114" s="87"/>
    </row>
    <row r="115" spans="1:8" s="40" customFormat="1" ht="12.75" hidden="1">
      <c r="A115" s="40" t="s">
        <v>180</v>
      </c>
      <c r="B115" s="87"/>
      <c r="C115" s="87"/>
      <c r="H115" s="87"/>
    </row>
    <row r="116" spans="2:8" s="40" customFormat="1" ht="12.75">
      <c r="B116" s="87"/>
      <c r="C116" s="87"/>
      <c r="H116" s="87"/>
    </row>
    <row r="117" spans="1:9" s="40" customFormat="1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s="40" customFormat="1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s="40" customFormat="1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s="40" customFormat="1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s="40" customFormat="1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s="40" customFormat="1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s="40" customFormat="1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s="40" customFormat="1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s="40" customFormat="1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s="40" customFormat="1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40" customFormat="1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40" customFormat="1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40" customFormat="1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s="40" customFormat="1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s="40" customFormat="1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s="40" customFormat="1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s="40" customFormat="1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s="40" customFormat="1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s="40" customFormat="1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s="40" customFormat="1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s="40" customFormat="1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s="40" customFormat="1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s="40" customFormat="1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s="40" customFormat="1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s="40" customFormat="1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s="40" customFormat="1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s="40" customFormat="1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s="40" customFormat="1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s="40" customFormat="1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s="40" customFormat="1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s="40" customFormat="1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s="40" customFormat="1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s="40" customFormat="1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s="40" customFormat="1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s="40" customFormat="1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s="40" customFormat="1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s="40" customFormat="1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s="40" customFormat="1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40" customFormat="1" ht="12.7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s="40" customFormat="1" ht="12.7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s="40" customFormat="1" ht="12.7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s="40" customFormat="1" ht="12.7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s="40" customFormat="1" ht="12.7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s="40" customFormat="1" ht="12.7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s="40" customFormat="1" ht="12.7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s="40" customFormat="1" ht="12.7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s="40" customFormat="1" ht="12.7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s="40" customFormat="1" ht="12.7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s="40" customFormat="1" ht="12.7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s="40" customFormat="1" ht="12.7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s="40" customFormat="1" ht="12.7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s="40" customFormat="1" ht="12.7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s="40" customFormat="1" ht="12.7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s="40" customFormat="1" ht="12.7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s="40" customFormat="1" ht="12.7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s="40" customFormat="1" ht="12.7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s="40" customFormat="1" ht="12.7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s="40" customFormat="1" ht="12.7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s="40" customFormat="1" ht="12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s="40" customFormat="1" ht="12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s="40" customFormat="1" ht="12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s="40" customFormat="1" ht="12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s="40" customFormat="1" ht="12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s="40" customFormat="1" ht="12.7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s="40" customFormat="1" ht="12.7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s="40" customFormat="1" ht="12.7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s="40" customFormat="1" ht="12.7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s="40" customFormat="1" ht="12.7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s="40" customFormat="1" ht="12.7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s="40" customFormat="1" ht="12.7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s="40" customFormat="1" ht="12.7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s="40" customFormat="1" ht="12.7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s="40" customFormat="1" ht="12.75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s="40" customFormat="1" ht="12.75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s="40" customFormat="1" ht="12.75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s="40" customFormat="1" ht="12.75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s="40" customFormat="1" ht="12.75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s="40" customFormat="1" ht="12.75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s="40" customFormat="1" ht="12.75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s="40" customFormat="1" ht="12.75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s="40" customFormat="1" ht="12.75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s="40" customFormat="1" ht="12.75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s="40" customFormat="1" ht="12.7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s="40" customFormat="1" ht="12.7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s="40" customFormat="1" ht="12.7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s="40" customFormat="1" ht="12.7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s="40" customFormat="1" ht="12.75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s="40" customFormat="1" ht="12.75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s="40" customFormat="1" ht="12.75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s="40" customFormat="1" ht="12.75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s="40" customFormat="1" ht="12.75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s="40" customFormat="1" ht="12.75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s="40" customFormat="1" ht="12.75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s="40" customFormat="1" ht="12.75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s="40" customFormat="1" ht="12.75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 s="40" customFormat="1" ht="12.75">
      <c r="A212" s="37"/>
      <c r="B212" s="37"/>
      <c r="C212" s="37"/>
      <c r="D212" s="37"/>
      <c r="E212" s="37"/>
      <c r="F212" s="37"/>
      <c r="G212" s="37"/>
      <c r="H212" s="37"/>
      <c r="I212" s="37"/>
    </row>
    <row r="213" spans="1:9" s="40" customFormat="1" ht="12.75">
      <c r="A213" s="37"/>
      <c r="B213" s="37"/>
      <c r="C213" s="37"/>
      <c r="D213" s="37"/>
      <c r="E213" s="37"/>
      <c r="F213" s="37"/>
      <c r="G213" s="37"/>
      <c r="H213" s="37"/>
      <c r="I213" s="37"/>
    </row>
    <row r="214" spans="1:9" s="40" customFormat="1" ht="12.75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9" s="40" customFormat="1" ht="12.7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 s="40" customFormat="1" ht="12.75">
      <c r="A216" s="37"/>
      <c r="B216" s="37"/>
      <c r="C216" s="37"/>
      <c r="D216" s="37"/>
      <c r="E216" s="37"/>
      <c r="F216" s="37"/>
      <c r="G216" s="37"/>
      <c r="H216" s="37"/>
      <c r="I216" s="37"/>
    </row>
    <row r="217" spans="1:9" s="40" customFormat="1" ht="12.75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 s="40" customFormat="1" ht="12.75">
      <c r="A218" s="37"/>
      <c r="B218" s="37"/>
      <c r="C218" s="37"/>
      <c r="D218" s="37"/>
      <c r="E218" s="37"/>
      <c r="F218" s="37"/>
      <c r="G218" s="37"/>
      <c r="H218" s="37"/>
      <c r="I218" s="37"/>
    </row>
    <row r="219" spans="1:9" s="40" customFormat="1" ht="12.75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 s="40" customFormat="1" ht="12.75">
      <c r="A220" s="37"/>
      <c r="B220" s="37"/>
      <c r="C220" s="37"/>
      <c r="D220" s="37"/>
      <c r="E220" s="37"/>
      <c r="F220" s="37"/>
      <c r="G220" s="37"/>
      <c r="H220" s="37"/>
      <c r="I220" s="37"/>
    </row>
    <row r="221" spans="1:9" s="40" customFormat="1" ht="12.75">
      <c r="A221" s="37"/>
      <c r="B221" s="37"/>
      <c r="C221" s="37"/>
      <c r="D221" s="37"/>
      <c r="E221" s="37"/>
      <c r="F221" s="37"/>
      <c r="G221" s="37"/>
      <c r="H221" s="37"/>
      <c r="I221" s="37"/>
    </row>
    <row r="222" spans="1:9" s="40" customFormat="1" ht="12.75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s="40" customFormat="1" ht="12.75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 s="40" customFormat="1" ht="12.75">
      <c r="A224" s="37"/>
      <c r="B224" s="37"/>
      <c r="C224" s="37"/>
      <c r="D224" s="37"/>
      <c r="E224" s="37"/>
      <c r="F224" s="37"/>
      <c r="G224" s="37"/>
      <c r="H224" s="37"/>
      <c r="I224" s="37"/>
    </row>
    <row r="225" spans="1:9" s="40" customFormat="1" ht="12.75">
      <c r="A225" s="37"/>
      <c r="B225" s="37"/>
      <c r="C225" s="37"/>
      <c r="D225" s="37"/>
      <c r="E225" s="37"/>
      <c r="F225" s="37"/>
      <c r="G225" s="37"/>
      <c r="H225" s="37"/>
      <c r="I225" s="37"/>
    </row>
    <row r="226" spans="1:9" s="90" customFormat="1" ht="12.75">
      <c r="A226" s="37"/>
      <c r="B226" s="37"/>
      <c r="C226" s="37"/>
      <c r="D226" s="37"/>
      <c r="E226" s="37"/>
      <c r="F226" s="37"/>
      <c r="G226" s="37"/>
      <c r="H226" s="37"/>
      <c r="I226" s="37"/>
    </row>
    <row r="227" spans="1:9" s="90" customFormat="1" ht="12.75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9" s="90" customFormat="1" ht="12.75">
      <c r="A228" s="37"/>
      <c r="B228" s="37"/>
      <c r="C228" s="37"/>
      <c r="D228" s="37"/>
      <c r="E228" s="37"/>
      <c r="F228" s="37"/>
      <c r="G228" s="37"/>
      <c r="H228" s="37"/>
      <c r="I228" s="37"/>
    </row>
    <row r="229" spans="1:9" s="90" customFormat="1" ht="12.75">
      <c r="A229" s="37"/>
      <c r="B229" s="37"/>
      <c r="C229" s="37"/>
      <c r="D229" s="37"/>
      <c r="E229" s="37"/>
      <c r="F229" s="37"/>
      <c r="G229" s="37"/>
      <c r="H229" s="37"/>
      <c r="I229" s="37"/>
    </row>
    <row r="230" spans="1:9" s="90" customFormat="1" ht="12.75">
      <c r="A230" s="37"/>
      <c r="B230" s="37"/>
      <c r="C230" s="37"/>
      <c r="D230" s="37"/>
      <c r="E230" s="37"/>
      <c r="F230" s="37"/>
      <c r="G230" s="37"/>
      <c r="H230" s="37"/>
      <c r="I230" s="37"/>
    </row>
    <row r="231" spans="1:9" s="90" customFormat="1" ht="12.75">
      <c r="A231" s="37"/>
      <c r="B231" s="37"/>
      <c r="C231" s="37"/>
      <c r="D231" s="37"/>
      <c r="E231" s="37"/>
      <c r="F231" s="37"/>
      <c r="G231" s="37"/>
      <c r="H231" s="37"/>
      <c r="I231" s="37"/>
    </row>
    <row r="232" spans="1:9" s="90" customFormat="1" ht="12.75">
      <c r="A232" s="37"/>
      <c r="B232" s="37"/>
      <c r="C232" s="37"/>
      <c r="D232" s="37"/>
      <c r="E232" s="37"/>
      <c r="F232" s="37"/>
      <c r="G232" s="37"/>
      <c r="H232" s="37"/>
      <c r="I232" s="37"/>
    </row>
    <row r="233" spans="1:9" s="90" customFormat="1" ht="12.75">
      <c r="A233" s="37"/>
      <c r="B233" s="37"/>
      <c r="C233" s="37"/>
      <c r="D233" s="37"/>
      <c r="E233" s="37"/>
      <c r="F233" s="37"/>
      <c r="G233" s="37"/>
      <c r="H233" s="37"/>
      <c r="I233" s="37"/>
    </row>
    <row r="234" spans="1:9" s="90" customFormat="1" ht="12.75">
      <c r="A234" s="37"/>
      <c r="B234" s="37"/>
      <c r="C234" s="37"/>
      <c r="D234" s="37"/>
      <c r="E234" s="37"/>
      <c r="F234" s="37"/>
      <c r="G234" s="37"/>
      <c r="H234" s="37"/>
      <c r="I234" s="37"/>
    </row>
    <row r="235" spans="1:9" s="90" customFormat="1" ht="12.75">
      <c r="A235" s="37"/>
      <c r="B235" s="37"/>
      <c r="C235" s="37"/>
      <c r="D235" s="37"/>
      <c r="E235" s="37"/>
      <c r="F235" s="37"/>
      <c r="G235" s="37"/>
      <c r="H235" s="37"/>
      <c r="I235" s="37"/>
    </row>
    <row r="236" spans="1:9" s="90" customFormat="1" ht="12.75">
      <c r="A236" s="37"/>
      <c r="B236" s="37"/>
      <c r="C236" s="37"/>
      <c r="D236" s="37"/>
      <c r="E236" s="37"/>
      <c r="F236" s="37"/>
      <c r="G236" s="37"/>
      <c r="H236" s="37"/>
      <c r="I236" s="37"/>
    </row>
    <row r="237" spans="1:9" s="90" customFormat="1" ht="12.75">
      <c r="A237" s="37"/>
      <c r="B237" s="37"/>
      <c r="C237" s="37"/>
      <c r="D237" s="37"/>
      <c r="E237" s="37"/>
      <c r="F237" s="37"/>
      <c r="G237" s="37"/>
      <c r="H237" s="37"/>
      <c r="I237" s="37"/>
    </row>
    <row r="238" spans="1:9" s="90" customFormat="1" ht="12.75">
      <c r="A238" s="37"/>
      <c r="B238" s="37"/>
      <c r="C238" s="37"/>
      <c r="D238" s="37"/>
      <c r="E238" s="37"/>
      <c r="F238" s="37"/>
      <c r="G238" s="37"/>
      <c r="H238" s="37"/>
      <c r="I238" s="37"/>
    </row>
    <row r="239" spans="1:9" s="90" customFormat="1" ht="12.75">
      <c r="A239" s="37"/>
      <c r="B239" s="37"/>
      <c r="C239" s="37"/>
      <c r="D239" s="37"/>
      <c r="E239" s="37"/>
      <c r="F239" s="37"/>
      <c r="G239" s="37"/>
      <c r="H239" s="37"/>
      <c r="I239" s="37"/>
    </row>
    <row r="240" spans="1:9" s="90" customFormat="1" ht="12.75">
      <c r="A240" s="37"/>
      <c r="B240" s="37"/>
      <c r="C240" s="37"/>
      <c r="D240" s="37"/>
      <c r="E240" s="37"/>
      <c r="F240" s="37"/>
      <c r="G240" s="37"/>
      <c r="H240" s="37"/>
      <c r="I240" s="37"/>
    </row>
    <row r="241" spans="1:9" s="90" customFormat="1" ht="12.75">
      <c r="A241" s="37"/>
      <c r="B241" s="37"/>
      <c r="C241" s="37"/>
      <c r="D241" s="37"/>
      <c r="E241" s="37"/>
      <c r="F241" s="37"/>
      <c r="G241" s="37"/>
      <c r="H241" s="37"/>
      <c r="I241" s="37"/>
    </row>
    <row r="242" spans="1:9" s="90" customFormat="1" ht="12.75">
      <c r="A242" s="37"/>
      <c r="B242" s="37"/>
      <c r="C242" s="37"/>
      <c r="D242" s="37"/>
      <c r="E242" s="37"/>
      <c r="F242" s="37"/>
      <c r="G242" s="37"/>
      <c r="H242" s="37"/>
      <c r="I242" s="37"/>
    </row>
    <row r="243" spans="1:9" s="90" customFormat="1" ht="12.75">
      <c r="A243" s="37"/>
      <c r="B243" s="37"/>
      <c r="C243" s="37"/>
      <c r="D243" s="37"/>
      <c r="E243" s="37"/>
      <c r="F243" s="37"/>
      <c r="G243" s="37"/>
      <c r="H243" s="37"/>
      <c r="I243" s="37"/>
    </row>
    <row r="244" spans="1:9" s="90" customFormat="1" ht="12.75">
      <c r="A244" s="37"/>
      <c r="B244" s="37"/>
      <c r="C244" s="37"/>
      <c r="D244" s="37"/>
      <c r="E244" s="37"/>
      <c r="F244" s="37"/>
      <c r="G244" s="37"/>
      <c r="H244" s="37"/>
      <c r="I244" s="37"/>
    </row>
    <row r="245" spans="1:9" s="90" customFormat="1" ht="12.75">
      <c r="A245" s="37"/>
      <c r="B245" s="37"/>
      <c r="C245" s="37"/>
      <c r="D245" s="37"/>
      <c r="E245" s="37"/>
      <c r="F245" s="37"/>
      <c r="G245" s="37"/>
      <c r="H245" s="37"/>
      <c r="I245" s="37"/>
    </row>
    <row r="246" spans="1:9" s="90" customFormat="1" ht="12.75">
      <c r="A246" s="37"/>
      <c r="B246" s="37"/>
      <c r="C246" s="37"/>
      <c r="D246" s="37"/>
      <c r="E246" s="37"/>
      <c r="F246" s="37"/>
      <c r="G246" s="37"/>
      <c r="H246" s="37"/>
      <c r="I246" s="37"/>
    </row>
    <row r="247" spans="1:9" s="90" customFormat="1" ht="12.75">
      <c r="A247" s="37"/>
      <c r="B247" s="37"/>
      <c r="C247" s="37"/>
      <c r="D247" s="37"/>
      <c r="E247" s="37"/>
      <c r="F247" s="37"/>
      <c r="G247" s="37"/>
      <c r="H247" s="37"/>
      <c r="I247" s="37"/>
    </row>
    <row r="248" spans="1:9" s="90" customFormat="1" ht="12.75">
      <c r="A248" s="37"/>
      <c r="B248" s="37"/>
      <c r="C248" s="37"/>
      <c r="D248" s="37"/>
      <c r="E248" s="37"/>
      <c r="F248" s="37"/>
      <c r="G248" s="37"/>
      <c r="H248" s="37"/>
      <c r="I248" s="37"/>
    </row>
    <row r="249" spans="1:9" s="90" customFormat="1" ht="12.75">
      <c r="A249" s="37"/>
      <c r="B249" s="37"/>
      <c r="C249" s="37"/>
      <c r="D249" s="37"/>
      <c r="E249" s="37"/>
      <c r="F249" s="37"/>
      <c r="G249" s="37"/>
      <c r="H249" s="37"/>
      <c r="I249" s="37"/>
    </row>
    <row r="250" spans="1:9" s="90" customFormat="1" ht="12.75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s="90" customFormat="1" ht="12.75">
      <c r="A251" s="37"/>
      <c r="B251" s="37"/>
      <c r="C251" s="37"/>
      <c r="D251" s="37"/>
      <c r="E251" s="37"/>
      <c r="F251" s="37"/>
      <c r="G251" s="37"/>
      <c r="H251" s="37"/>
      <c r="I251" s="37"/>
    </row>
    <row r="252" spans="1:9" s="90" customFormat="1" ht="12.75">
      <c r="A252" s="37"/>
      <c r="B252" s="37"/>
      <c r="C252" s="37"/>
      <c r="D252" s="37"/>
      <c r="E252" s="37"/>
      <c r="F252" s="37"/>
      <c r="G252" s="37"/>
      <c r="H252" s="37"/>
      <c r="I252" s="37"/>
    </row>
    <row r="253" spans="1:9" s="90" customFormat="1" ht="12.75">
      <c r="A253" s="37"/>
      <c r="B253" s="37"/>
      <c r="C253" s="37"/>
      <c r="D253" s="37"/>
      <c r="E253" s="37"/>
      <c r="F253" s="37"/>
      <c r="G253" s="37"/>
      <c r="H253" s="37"/>
      <c r="I253" s="37"/>
    </row>
    <row r="254" spans="1:9" s="90" customFormat="1" ht="12.75">
      <c r="A254" s="37"/>
      <c r="B254" s="37"/>
      <c r="C254" s="37"/>
      <c r="D254" s="37"/>
      <c r="E254" s="37"/>
      <c r="F254" s="37"/>
      <c r="G254" s="37"/>
      <c r="H254" s="37"/>
      <c r="I254" s="37"/>
    </row>
    <row r="255" spans="1:9" s="90" customFormat="1" ht="12.75">
      <c r="A255" s="37"/>
      <c r="B255" s="37"/>
      <c r="C255" s="37"/>
      <c r="D255" s="37"/>
      <c r="E255" s="37"/>
      <c r="F255" s="37"/>
      <c r="G255" s="37"/>
      <c r="H255" s="37"/>
      <c r="I255" s="37"/>
    </row>
    <row r="256" spans="1:9" s="90" customFormat="1" ht="12.75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9" s="90" customFormat="1" ht="12.75">
      <c r="A257" s="37"/>
      <c r="B257" s="37"/>
      <c r="C257" s="37"/>
      <c r="D257" s="37"/>
      <c r="E257" s="37"/>
      <c r="F257" s="37"/>
      <c r="G257" s="37"/>
      <c r="H257" s="37"/>
      <c r="I257" s="37"/>
    </row>
  </sheetData>
  <sheetProtection/>
  <mergeCells count="102">
    <mergeCell ref="H93:I93"/>
    <mergeCell ref="H44:I44"/>
    <mergeCell ref="A40:F40"/>
    <mergeCell ref="A41:F41"/>
    <mergeCell ref="B103:H103"/>
    <mergeCell ref="A74:B74"/>
    <mergeCell ref="H90:I90"/>
    <mergeCell ref="B90:G90"/>
    <mergeCell ref="H88:I88"/>
    <mergeCell ref="I95:I96"/>
    <mergeCell ref="B93:G93"/>
    <mergeCell ref="F71:G71"/>
    <mergeCell ref="F72:G72"/>
    <mergeCell ref="A50:F50"/>
    <mergeCell ref="A49:F49"/>
    <mergeCell ref="A52:F52"/>
    <mergeCell ref="A53:F53"/>
    <mergeCell ref="A63:F63"/>
    <mergeCell ref="A59:F59"/>
    <mergeCell ref="F74:G74"/>
    <mergeCell ref="B92:G92"/>
    <mergeCell ref="A86:E86"/>
    <mergeCell ref="A73:B73"/>
    <mergeCell ref="A55:F55"/>
    <mergeCell ref="A60:F60"/>
    <mergeCell ref="A58:F58"/>
    <mergeCell ref="A57:F57"/>
    <mergeCell ref="A61:F61"/>
    <mergeCell ref="A70:I70"/>
    <mergeCell ref="A71:B71"/>
    <mergeCell ref="A35:F35"/>
    <mergeCell ref="A36:F36"/>
    <mergeCell ref="A78:F78"/>
    <mergeCell ref="H80:I80"/>
    <mergeCell ref="B80:G80"/>
    <mergeCell ref="F95:G95"/>
    <mergeCell ref="H95:H96"/>
    <mergeCell ref="H91:I91"/>
    <mergeCell ref="H92:I92"/>
    <mergeCell ref="B91:G91"/>
    <mergeCell ref="A18:I18"/>
    <mergeCell ref="G20:I20"/>
    <mergeCell ref="A19:I19"/>
    <mergeCell ref="H22:I22"/>
    <mergeCell ref="F24:F25"/>
    <mergeCell ref="A33:F33"/>
    <mergeCell ref="A20:B20"/>
    <mergeCell ref="C20:F20"/>
    <mergeCell ref="A10:I10"/>
    <mergeCell ref="A11:I11"/>
    <mergeCell ref="F13:I13"/>
    <mergeCell ref="B24:B25"/>
    <mergeCell ref="C24:C25"/>
    <mergeCell ref="D24:D25"/>
    <mergeCell ref="E24:E25"/>
    <mergeCell ref="A17:I17"/>
    <mergeCell ref="H24:I25"/>
    <mergeCell ref="A34:F34"/>
    <mergeCell ref="A38:F38"/>
    <mergeCell ref="B30:G30"/>
    <mergeCell ref="G24:G25"/>
    <mergeCell ref="A24:A25"/>
    <mergeCell ref="B28:G28"/>
    <mergeCell ref="A32:F32"/>
    <mergeCell ref="A37:F37"/>
    <mergeCell ref="H26:I26"/>
    <mergeCell ref="E113:F113"/>
    <mergeCell ref="A112:C112"/>
    <mergeCell ref="A6:I6"/>
    <mergeCell ref="A7:I7"/>
    <mergeCell ref="A8:I8"/>
    <mergeCell ref="A9:I9"/>
    <mergeCell ref="B44:G44"/>
    <mergeCell ref="H28:I28"/>
    <mergeCell ref="H30:I30"/>
    <mergeCell ref="B22:G22"/>
    <mergeCell ref="A99:D99"/>
    <mergeCell ref="A95:D96"/>
    <mergeCell ref="A97:D97"/>
    <mergeCell ref="A98:D98"/>
    <mergeCell ref="A113:B113"/>
    <mergeCell ref="C113:D113"/>
    <mergeCell ref="A100:D100"/>
    <mergeCell ref="A101:D101"/>
    <mergeCell ref="A42:F42"/>
    <mergeCell ref="A48:F48"/>
    <mergeCell ref="A51:F51"/>
    <mergeCell ref="A39:F39"/>
    <mergeCell ref="A54:F54"/>
    <mergeCell ref="A62:F62"/>
    <mergeCell ref="A46:F46"/>
    <mergeCell ref="A47:F47"/>
    <mergeCell ref="A85:E85"/>
    <mergeCell ref="A84:E84"/>
    <mergeCell ref="A56:F56"/>
    <mergeCell ref="F73:G73"/>
    <mergeCell ref="A64:I64"/>
    <mergeCell ref="A82:E82"/>
    <mergeCell ref="A83:E83"/>
    <mergeCell ref="H76:I76"/>
    <mergeCell ref="B76:G76"/>
    <mergeCell ref="A72:B72"/>
  </mergeCells>
  <printOptions/>
  <pageMargins left="0.67" right="0.21" top="0.29" bottom="0.24" header="0.31" footer="0.23"/>
  <pageSetup fitToHeight="10" horizontalDpi="600" verticalDpi="600" orientation="portrait" paperSize="9" scale="80" r:id="rId2"/>
  <rowBreaks count="1" manualBreakCount="1">
    <brk id="6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62"/>
  <sheetViews>
    <sheetView view="pageBreakPreview" zoomScaleNormal="75" zoomScaleSheetLayoutView="100" zoomScalePageLayoutView="0" workbookViewId="0" topLeftCell="B15">
      <selection activeCell="W22" sqref="W22"/>
    </sheetView>
  </sheetViews>
  <sheetFormatPr defaultColWidth="10.66015625" defaultRowHeight="12.75"/>
  <cols>
    <col min="1" max="1" width="3.83203125" style="176" customWidth="1"/>
    <col min="2" max="2" width="4.83203125" style="175" customWidth="1"/>
    <col min="3" max="3" width="13.66015625" style="176" customWidth="1"/>
    <col min="4" max="4" width="6.83203125" style="176" customWidth="1"/>
    <col min="5" max="5" width="22.66015625" style="176" customWidth="1"/>
    <col min="6" max="6" width="9.5" style="176" customWidth="1"/>
    <col min="7" max="7" width="14.16015625" style="176" customWidth="1"/>
    <col min="8" max="8" width="14.66015625" style="176" customWidth="1"/>
    <col min="9" max="9" width="14.66015625" style="178" customWidth="1"/>
    <col min="10" max="11" width="12.33203125" style="178" hidden="1" customWidth="1"/>
    <col min="12" max="12" width="14.66015625" style="178" customWidth="1"/>
    <col min="13" max="13" width="14" style="178" customWidth="1"/>
    <col min="14" max="14" width="14.33203125" style="178" customWidth="1"/>
    <col min="15" max="15" width="17.16015625" style="178" customWidth="1"/>
    <col min="16" max="16" width="7.16015625" style="178" customWidth="1"/>
    <col min="17" max="17" width="12" style="178" customWidth="1"/>
    <col min="18" max="18" width="17.16015625" style="176" hidden="1" customWidth="1"/>
    <col min="19" max="19" width="18.83203125" style="176" hidden="1" customWidth="1"/>
    <col min="20" max="20" width="15.83203125" style="176" hidden="1" customWidth="1"/>
    <col min="21" max="21" width="16.83203125" style="176" hidden="1" customWidth="1"/>
    <col min="22" max="22" width="22.83203125" style="176" hidden="1" customWidth="1"/>
    <col min="23" max="23" width="20" style="176" customWidth="1"/>
    <col min="24" max="24" width="19.66015625" style="176" customWidth="1"/>
    <col min="25" max="25" width="35.33203125" style="176" customWidth="1"/>
    <col min="26" max="16384" width="10.66015625" style="176" customWidth="1"/>
  </cols>
  <sheetData>
    <row r="1" spans="2:17" s="127" customFormat="1" ht="26.25" hidden="1">
      <c r="B1" s="125"/>
      <c r="C1" s="126"/>
      <c r="H1" s="128"/>
      <c r="I1" s="313" t="s">
        <v>41</v>
      </c>
      <c r="J1" s="313"/>
      <c r="K1" s="313"/>
      <c r="L1" s="313"/>
      <c r="M1" s="313"/>
      <c r="N1" s="313"/>
      <c r="O1" s="313"/>
      <c r="P1" s="313"/>
      <c r="Q1" s="313"/>
    </row>
    <row r="2" spans="2:17" s="127" customFormat="1" ht="18" customHeight="1" hidden="1">
      <c r="B2" s="125"/>
      <c r="H2" s="128"/>
      <c r="I2" s="314" t="s">
        <v>85</v>
      </c>
      <c r="J2" s="314"/>
      <c r="K2" s="314"/>
      <c r="L2" s="314"/>
      <c r="M2" s="314"/>
      <c r="N2" s="314"/>
      <c r="O2" s="314"/>
      <c r="P2" s="314"/>
      <c r="Q2" s="314"/>
    </row>
    <row r="3" spans="2:17" s="127" customFormat="1" ht="18" customHeight="1" hidden="1">
      <c r="B3" s="125"/>
      <c r="H3" s="128"/>
      <c r="I3" s="314" t="s">
        <v>42</v>
      </c>
      <c r="J3" s="314"/>
      <c r="K3" s="314"/>
      <c r="L3" s="314"/>
      <c r="M3" s="314"/>
      <c r="N3" s="314"/>
      <c r="O3" s="314"/>
      <c r="P3" s="314"/>
      <c r="Q3" s="314"/>
    </row>
    <row r="4" spans="2:17" s="127" customFormat="1" ht="23.25" customHeight="1" hidden="1">
      <c r="B4" s="125"/>
      <c r="D4" s="129"/>
      <c r="H4" s="128"/>
      <c r="I4" s="315" t="e">
        <f>CONCATENATE(O48," (",СумаПрописом(O48),")"," гривень")</f>
        <v>#NAME?</v>
      </c>
      <c r="J4" s="315"/>
      <c r="K4" s="315"/>
      <c r="L4" s="315"/>
      <c r="M4" s="315"/>
      <c r="N4" s="315"/>
      <c r="O4" s="315"/>
      <c r="P4" s="315"/>
      <c r="Q4" s="315"/>
    </row>
    <row r="5" spans="2:17" s="127" customFormat="1" ht="18.75" customHeight="1" hidden="1">
      <c r="B5" s="125"/>
      <c r="D5" s="129"/>
      <c r="H5" s="130"/>
      <c r="I5" s="315"/>
      <c r="J5" s="315"/>
      <c r="K5" s="315"/>
      <c r="L5" s="315"/>
      <c r="M5" s="315"/>
      <c r="N5" s="315"/>
      <c r="O5" s="315"/>
      <c r="P5" s="315"/>
      <c r="Q5" s="315"/>
    </row>
    <row r="6" spans="2:16" s="127" customFormat="1" ht="12" customHeight="1" hidden="1">
      <c r="B6" s="125"/>
      <c r="H6" s="130"/>
      <c r="I6" s="303"/>
      <c r="J6" s="303"/>
      <c r="K6" s="303"/>
      <c r="L6" s="303"/>
      <c r="M6" s="303"/>
      <c r="N6" s="303"/>
      <c r="O6" s="303"/>
      <c r="P6" s="131"/>
    </row>
    <row r="7" spans="2:17" s="127" customFormat="1" ht="62.25" customHeight="1" hidden="1">
      <c r="B7" s="125"/>
      <c r="H7" s="126"/>
      <c r="I7" s="304" t="s">
        <v>43</v>
      </c>
      <c r="J7" s="304"/>
      <c r="K7" s="304"/>
      <c r="L7" s="304"/>
      <c r="M7" s="304"/>
      <c r="N7" s="304"/>
      <c r="O7" s="304"/>
      <c r="P7" s="304"/>
      <c r="Q7" s="304"/>
    </row>
    <row r="8" spans="2:17" s="127" customFormat="1" ht="14.25" customHeight="1" hidden="1">
      <c r="B8" s="125"/>
      <c r="H8" s="126"/>
      <c r="I8" s="306" t="s">
        <v>44</v>
      </c>
      <c r="J8" s="306"/>
      <c r="K8" s="306"/>
      <c r="L8" s="306"/>
      <c r="M8" s="306"/>
      <c r="N8" s="306"/>
      <c r="O8" s="306"/>
      <c r="P8" s="306"/>
      <c r="Q8" s="306"/>
    </row>
    <row r="9" spans="2:16" s="127" customFormat="1" ht="20.25" hidden="1">
      <c r="B9" s="125"/>
      <c r="D9" s="129"/>
      <c r="H9" s="126"/>
      <c r="I9" s="132"/>
      <c r="J9" s="132"/>
      <c r="K9" s="132"/>
      <c r="L9" s="132"/>
      <c r="M9" s="132"/>
      <c r="N9" s="132"/>
      <c r="O9" s="132"/>
      <c r="P9" s="132"/>
    </row>
    <row r="10" spans="2:17" s="127" customFormat="1" ht="20.25" hidden="1">
      <c r="B10" s="125"/>
      <c r="D10" s="129"/>
      <c r="H10" s="126"/>
      <c r="I10" s="312"/>
      <c r="J10" s="312"/>
      <c r="K10" s="312"/>
      <c r="L10" s="312"/>
      <c r="M10" s="312"/>
      <c r="N10" s="312"/>
      <c r="O10" s="311" t="s">
        <v>202</v>
      </c>
      <c r="P10" s="311"/>
      <c r="Q10" s="311"/>
    </row>
    <row r="11" spans="2:17" s="127" customFormat="1" ht="14.25" hidden="1">
      <c r="B11" s="125"/>
      <c r="I11" s="273" t="s">
        <v>45</v>
      </c>
      <c r="J11" s="273"/>
      <c r="K11" s="273"/>
      <c r="L11" s="273"/>
      <c r="M11" s="273"/>
      <c r="N11" s="273"/>
      <c r="O11" s="288" t="s">
        <v>46</v>
      </c>
      <c r="P11" s="288"/>
      <c r="Q11" s="288"/>
    </row>
    <row r="12" spans="2:17" s="127" customFormat="1" ht="7.5" customHeight="1" hidden="1">
      <c r="B12" s="125"/>
      <c r="L12" s="128"/>
      <c r="M12" s="128"/>
      <c r="N12" s="128"/>
      <c r="O12" s="126"/>
      <c r="P12" s="130"/>
      <c r="Q12" s="130"/>
    </row>
    <row r="13" spans="2:17" s="127" customFormat="1" ht="18.75" hidden="1">
      <c r="B13" s="125"/>
      <c r="I13" s="272"/>
      <c r="J13" s="272"/>
      <c r="K13" s="272"/>
      <c r="L13" s="272"/>
      <c r="M13" s="272"/>
      <c r="N13" s="272"/>
      <c r="P13" s="134"/>
      <c r="Q13" s="134"/>
    </row>
    <row r="14" spans="2:20" s="127" customFormat="1" ht="18.75" hidden="1">
      <c r="B14" s="125"/>
      <c r="I14" s="273" t="s">
        <v>47</v>
      </c>
      <c r="J14" s="273"/>
      <c r="K14" s="273"/>
      <c r="L14" s="273"/>
      <c r="M14" s="273"/>
      <c r="N14" s="273"/>
      <c r="O14" s="134" t="s">
        <v>48</v>
      </c>
      <c r="Q14" s="134"/>
      <c r="T14" s="127" t="s">
        <v>49</v>
      </c>
    </row>
    <row r="15" spans="2:21" s="127" customFormat="1" ht="18.75">
      <c r="B15" s="125"/>
      <c r="L15" s="128"/>
      <c r="M15" s="128"/>
      <c r="N15" s="128"/>
      <c r="O15" s="126"/>
      <c r="P15" s="130"/>
      <c r="Q15" s="130"/>
      <c r="T15" s="127">
        <v>2102</v>
      </c>
      <c r="U15" s="127">
        <v>4723</v>
      </c>
    </row>
    <row r="16" spans="2:17" s="127" customFormat="1" ht="14.25" hidden="1">
      <c r="B16" s="125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2:17" s="127" customFormat="1" ht="21.75" customHeight="1">
      <c r="B17" s="265" t="s">
        <v>203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135"/>
    </row>
    <row r="18" spans="2:17" s="127" customFormat="1" ht="20.25">
      <c r="B18" s="277" t="s">
        <v>204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136"/>
    </row>
    <row r="19" spans="2:17" s="127" customFormat="1" ht="42" customHeight="1">
      <c r="B19" s="137"/>
      <c r="C19" s="278" t="s">
        <v>50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137"/>
    </row>
    <row r="20" spans="2:17" s="127" customFormat="1" ht="21.75" customHeight="1" thickBot="1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</row>
    <row r="21" spans="2:17" s="127" customFormat="1" ht="37.5" customHeight="1">
      <c r="B21" s="309" t="s">
        <v>51</v>
      </c>
      <c r="C21" s="258" t="s">
        <v>52</v>
      </c>
      <c r="D21" s="258"/>
      <c r="E21" s="258"/>
      <c r="F21" s="279" t="s">
        <v>53</v>
      </c>
      <c r="G21" s="279" t="s">
        <v>54</v>
      </c>
      <c r="H21" s="307" t="s">
        <v>55</v>
      </c>
      <c r="I21" s="262" t="s">
        <v>56</v>
      </c>
      <c r="J21" s="263"/>
      <c r="K21" s="263"/>
      <c r="L21" s="263"/>
      <c r="M21" s="264"/>
      <c r="N21" s="138" t="s">
        <v>57</v>
      </c>
      <c r="O21" s="258" t="s">
        <v>58</v>
      </c>
      <c r="P21" s="258" t="str">
        <f>CONCATENATE("Фонд заробітної плати на ",B18," (грн.)")</f>
        <v>Фонд заробітної плати на на 2020 рік (грн.)</v>
      </c>
      <c r="Q21" s="259"/>
    </row>
    <row r="22" spans="2:17" s="127" customFormat="1" ht="123.75" customHeight="1" thickBot="1">
      <c r="B22" s="310"/>
      <c r="C22" s="260"/>
      <c r="D22" s="260"/>
      <c r="E22" s="260"/>
      <c r="F22" s="280"/>
      <c r="G22" s="280"/>
      <c r="H22" s="308"/>
      <c r="I22" s="139" t="s">
        <v>61</v>
      </c>
      <c r="J22" s="139" t="s">
        <v>59</v>
      </c>
      <c r="K22" s="139" t="s">
        <v>60</v>
      </c>
      <c r="L22" s="139" t="s">
        <v>205</v>
      </c>
      <c r="M22" s="139" t="s">
        <v>206</v>
      </c>
      <c r="N22" s="139" t="s">
        <v>62</v>
      </c>
      <c r="O22" s="260"/>
      <c r="P22" s="260"/>
      <c r="Q22" s="261"/>
    </row>
    <row r="23" spans="2:21" s="127" customFormat="1" ht="19.5" thickBot="1">
      <c r="B23" s="140">
        <v>1</v>
      </c>
      <c r="C23" s="305">
        <v>2</v>
      </c>
      <c r="D23" s="305"/>
      <c r="E23" s="305"/>
      <c r="F23" s="141">
        <v>3</v>
      </c>
      <c r="G23" s="141">
        <v>4</v>
      </c>
      <c r="H23" s="141">
        <v>5</v>
      </c>
      <c r="I23" s="141">
        <v>6</v>
      </c>
      <c r="J23" s="142">
        <v>7</v>
      </c>
      <c r="K23" s="141">
        <v>8</v>
      </c>
      <c r="L23" s="141">
        <v>9</v>
      </c>
      <c r="M23" s="143"/>
      <c r="N23" s="143">
        <v>10</v>
      </c>
      <c r="O23" s="141">
        <v>11</v>
      </c>
      <c r="P23" s="274">
        <v>12</v>
      </c>
      <c r="Q23" s="275"/>
      <c r="U23" s="144"/>
    </row>
    <row r="24" spans="2:23" s="127" customFormat="1" ht="18.75">
      <c r="B24" s="145">
        <v>1</v>
      </c>
      <c r="C24" s="297" t="s">
        <v>63</v>
      </c>
      <c r="D24" s="297"/>
      <c r="E24" s="297"/>
      <c r="F24" s="146">
        <v>14</v>
      </c>
      <c r="G24" s="147">
        <v>1</v>
      </c>
      <c r="H24" s="148">
        <f>ROUND(у*R24,0)</f>
        <v>5087</v>
      </c>
      <c r="I24" s="148">
        <f>IF(S24=25,ROUND(H24*(S24/100),2),"")</f>
      </c>
      <c r="J24" s="148"/>
      <c r="K24" s="148"/>
      <c r="L24" s="149">
        <f>IF(S24=40,ROUND(H24*(S24/100),2),"")</f>
      </c>
      <c r="M24" s="149">
        <f>IF(S24=45,ROUND(H24*(S24/100),2),"")</f>
        <v>2289.15</v>
      </c>
      <c r="N24" s="148">
        <f>IF(T24=0,"",ROUND(ROUND(H24,2)*(T24/100),2))</f>
      </c>
      <c r="O24" s="148">
        <f>SUM(H24:N24)</f>
        <v>7376.15</v>
      </c>
      <c r="P24" s="299">
        <f>O24*12</f>
        <v>88513.79999999999</v>
      </c>
      <c r="Q24" s="300"/>
      <c r="R24" s="126">
        <v>2.42</v>
      </c>
      <c r="S24" s="126">
        <v>45</v>
      </c>
      <c r="T24" s="126">
        <v>0</v>
      </c>
      <c r="U24" s="144">
        <f>O24-'[4]01.01.19 р. '!$O$24</f>
        <v>1100</v>
      </c>
      <c r="V24" s="150">
        <f>U24*0.805</f>
        <v>885.5</v>
      </c>
      <c r="W24" s="150"/>
    </row>
    <row r="25" spans="2:24" s="127" customFormat="1" ht="31.5">
      <c r="B25" s="151">
        <v>2</v>
      </c>
      <c r="C25" s="281" t="s">
        <v>64</v>
      </c>
      <c r="D25" s="281"/>
      <c r="E25" s="281"/>
      <c r="F25" s="152" t="s">
        <v>65</v>
      </c>
      <c r="G25" s="153">
        <v>1</v>
      </c>
      <c r="H25" s="154">
        <f>ROUND(H24-(H24*0.1),0)</f>
        <v>4578</v>
      </c>
      <c r="I25" s="148">
        <f>IF(S25=25,ROUND(H25*(S25/100),2),"")</f>
      </c>
      <c r="J25" s="148"/>
      <c r="K25" s="148"/>
      <c r="L25" s="149">
        <f>IF(S25=40,ROUND(H25*(S25/100),2),"")</f>
      </c>
      <c r="M25" s="149">
        <f>IF(S25=45,ROUND(H25*(S25/100),2),"")</f>
        <v>2060.1</v>
      </c>
      <c r="N25" s="148">
        <f>IF(T25=0,"",ROUND(ROUND(H25,2)*(T25/100),2))</f>
      </c>
      <c r="O25" s="148">
        <f>SUM(H25:N25)</f>
        <v>6638.1</v>
      </c>
      <c r="P25" s="266">
        <f>O25*12</f>
        <v>79657.20000000001</v>
      </c>
      <c r="Q25" s="267"/>
      <c r="R25" s="126">
        <v>2.42</v>
      </c>
      <c r="S25" s="126">
        <v>45</v>
      </c>
      <c r="T25" s="126">
        <v>0</v>
      </c>
      <c r="U25" s="144">
        <f>O25-'[4]01.01.19 р. '!$O$25</f>
        <v>989.7000000000007</v>
      </c>
      <c r="V25" s="150">
        <f>U25*0.805</f>
        <v>796.7085000000006</v>
      </c>
      <c r="W25" s="150"/>
      <c r="X25" s="150"/>
    </row>
    <row r="26" spans="2:23" s="127" customFormat="1" ht="20.25">
      <c r="B26" s="292" t="s">
        <v>66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4"/>
      <c r="S26" s="126"/>
      <c r="T26" s="126"/>
      <c r="U26" s="144"/>
      <c r="V26" s="150"/>
      <c r="W26" s="150"/>
    </row>
    <row r="27" spans="2:24" s="127" customFormat="1" ht="36.75" customHeight="1">
      <c r="B27" s="151">
        <v>3</v>
      </c>
      <c r="C27" s="281" t="s">
        <v>67</v>
      </c>
      <c r="D27" s="281"/>
      <c r="E27" s="281"/>
      <c r="F27" s="152" t="s">
        <v>68</v>
      </c>
      <c r="G27" s="155">
        <v>1</v>
      </c>
      <c r="H27" s="154">
        <f>ROUND(H24-(H24*0.05),0)</f>
        <v>4833</v>
      </c>
      <c r="I27" s="148">
        <f>IF(S27=30,ROUND(H27*(S27/100),2),"")</f>
      </c>
      <c r="J27" s="154"/>
      <c r="K27" s="154"/>
      <c r="L27" s="149">
        <f>IF(S27=40,ROUND(H27*(S27/100),2),"")</f>
      </c>
      <c r="M27" s="149">
        <f>IF(S27=45,ROUND(H27*(S27/100),2),"")</f>
        <v>2174.85</v>
      </c>
      <c r="N27" s="148">
        <f>IF(T27=0,"",ROUND(ROUND(H27,2)*(T27/100),2))</f>
      </c>
      <c r="O27" s="148">
        <f>SUM(H27:N27)</f>
        <v>7007.85</v>
      </c>
      <c r="P27" s="266">
        <f>O27*12</f>
        <v>84094.20000000001</v>
      </c>
      <c r="Q27" s="267"/>
      <c r="R27" s="126">
        <f>R25</f>
        <v>2.42</v>
      </c>
      <c r="S27" s="126">
        <v>45</v>
      </c>
      <c r="T27" s="126">
        <v>0</v>
      </c>
      <c r="U27" s="144">
        <f>O27-'[4]01.01.19 р. '!$O$27</f>
        <v>1044.9000000000005</v>
      </c>
      <c r="V27" s="150">
        <f>U27*0.805</f>
        <v>841.1445000000004</v>
      </c>
      <c r="W27" s="150"/>
      <c r="X27" s="150"/>
    </row>
    <row r="28" spans="2:23" s="127" customFormat="1" ht="18.75">
      <c r="B28" s="151">
        <v>4</v>
      </c>
      <c r="C28" s="281" t="s">
        <v>69</v>
      </c>
      <c r="D28" s="281"/>
      <c r="E28" s="281"/>
      <c r="F28" s="152">
        <v>11</v>
      </c>
      <c r="G28" s="155">
        <v>1</v>
      </c>
      <c r="H28" s="154">
        <f>ROUND(у*R28,0)</f>
        <v>4141</v>
      </c>
      <c r="I28" s="148">
        <f>IF(S28=30,ROUND(H28*(S28/100),2),"")</f>
      </c>
      <c r="J28" s="154"/>
      <c r="K28" s="154"/>
      <c r="L28" s="149">
        <f>IF(S28=40,ROUND(H28*(S28/100),2),"")</f>
        <v>1656.4</v>
      </c>
      <c r="M28" s="149">
        <f>IF(S28=45,ROUND(H28*(S28/100),2),"")</f>
      </c>
      <c r="N28" s="148">
        <f>IF(T28=0,"",ROUND(ROUND(H28,2)*(T28/100),2))</f>
      </c>
      <c r="O28" s="148">
        <f>SUM(H28:N28)</f>
        <v>5797.4</v>
      </c>
      <c r="P28" s="266">
        <f>O28*12</f>
        <v>69568.79999999999</v>
      </c>
      <c r="Q28" s="267"/>
      <c r="R28" s="126">
        <v>1.97</v>
      </c>
      <c r="S28" s="156">
        <v>40</v>
      </c>
      <c r="T28" s="126">
        <v>0</v>
      </c>
      <c r="U28" s="144">
        <f>O28-'[4]01.01.19 р. '!$O$28</f>
        <v>689</v>
      </c>
      <c r="V28" s="150">
        <f>U28*0.805</f>
        <v>554.645</v>
      </c>
      <c r="W28" s="150"/>
    </row>
    <row r="29" spans="2:23" s="127" customFormat="1" ht="18.75">
      <c r="B29" s="151">
        <v>5</v>
      </c>
      <c r="C29" s="281" t="s">
        <v>69</v>
      </c>
      <c r="D29" s="281"/>
      <c r="E29" s="281"/>
      <c r="F29" s="152">
        <v>11</v>
      </c>
      <c r="G29" s="155">
        <v>1</v>
      </c>
      <c r="H29" s="154">
        <f>ROUND(у*R29,0)</f>
        <v>4141</v>
      </c>
      <c r="I29" s="148">
        <f>IF(S29=30,ROUND(H29*(S29/100),2),"")</f>
        <v>1242.3</v>
      </c>
      <c r="J29" s="154"/>
      <c r="K29" s="154"/>
      <c r="L29" s="149">
        <f>IF(S29=40,ROUND(H29*(S29/100),2),"")</f>
      </c>
      <c r="M29" s="149">
        <f>IF(S29=45,ROUND(H29*(S29/100),2),"")</f>
      </c>
      <c r="N29" s="148">
        <f>IF(T29=0,"",ROUND(ROUND(H29,2)*(T29/100),2))</f>
      </c>
      <c r="O29" s="148">
        <f>SUM(H29:N29)</f>
        <v>5383.3</v>
      </c>
      <c r="P29" s="266">
        <f>O29*12</f>
        <v>64599.600000000006</v>
      </c>
      <c r="Q29" s="267"/>
      <c r="R29" s="126">
        <v>1.97</v>
      </c>
      <c r="S29" s="156">
        <v>30</v>
      </c>
      <c r="T29" s="126">
        <v>0</v>
      </c>
      <c r="U29" s="144">
        <f>O29-'[4]01.01.19 р. '!$O$29</f>
        <v>842.5</v>
      </c>
      <c r="V29" s="150">
        <f>U29*0.805</f>
        <v>678.2125000000001</v>
      </c>
      <c r="W29" s="150"/>
    </row>
    <row r="30" spans="2:23" s="127" customFormat="1" ht="18.75">
      <c r="B30" s="151">
        <v>6</v>
      </c>
      <c r="C30" s="298" t="s">
        <v>70</v>
      </c>
      <c r="D30" s="298"/>
      <c r="E30" s="298"/>
      <c r="F30" s="152">
        <v>8</v>
      </c>
      <c r="G30" s="155">
        <v>1</v>
      </c>
      <c r="H30" s="154">
        <f>ROUND(у*R30,0)</f>
        <v>3447</v>
      </c>
      <c r="I30" s="148">
        <f>IF(S30=30,ROUND(H30*(S30/100),2),"")</f>
      </c>
      <c r="J30" s="154"/>
      <c r="K30" s="154"/>
      <c r="L30" s="149">
        <f>IF(S30=40,ROUND(H30*(S30/100),2),"")</f>
        <v>1378.8</v>
      </c>
      <c r="M30" s="149">
        <f>IF(S30=45,ROUND(H30*(S30/100),2),"")</f>
      </c>
      <c r="N30" s="148">
        <f>IF(T30=0,"",ROUND(ROUND(H30,2)*(T30/100),2))</f>
      </c>
      <c r="O30" s="148">
        <f>SUM(H30:N30)</f>
        <v>4825.8</v>
      </c>
      <c r="P30" s="266">
        <f>O30*12</f>
        <v>57909.600000000006</v>
      </c>
      <c r="Q30" s="267"/>
      <c r="R30" s="126">
        <v>1.64</v>
      </c>
      <c r="S30" s="156">
        <v>40</v>
      </c>
      <c r="T30" s="126">
        <v>0</v>
      </c>
      <c r="U30" s="144">
        <f>O30-'[4]01.01.19 р. '!$O$30</f>
        <v>573.3000000000002</v>
      </c>
      <c r="V30" s="150">
        <f>U30*0.805</f>
        <v>461.5065000000002</v>
      </c>
      <c r="W30" s="150"/>
    </row>
    <row r="31" spans="2:23" s="127" customFormat="1" ht="27.75" customHeight="1">
      <c r="B31" s="295" t="s">
        <v>71</v>
      </c>
      <c r="C31" s="296"/>
      <c r="D31" s="296"/>
      <c r="E31" s="296"/>
      <c r="F31" s="157"/>
      <c r="G31" s="154">
        <f aca="true" t="shared" si="0" ref="G31:O31">SUM(G27:G30)</f>
        <v>4</v>
      </c>
      <c r="H31" s="154">
        <f t="shared" si="0"/>
        <v>16562</v>
      </c>
      <c r="I31" s="154">
        <f t="shared" si="0"/>
        <v>1242.3</v>
      </c>
      <c r="J31" s="154">
        <f t="shared" si="0"/>
        <v>0</v>
      </c>
      <c r="K31" s="154">
        <f t="shared" si="0"/>
        <v>0</v>
      </c>
      <c r="L31" s="154">
        <f t="shared" si="0"/>
        <v>3035.2</v>
      </c>
      <c r="M31" s="154">
        <f t="shared" si="0"/>
        <v>2174.85</v>
      </c>
      <c r="N31" s="154">
        <f t="shared" si="0"/>
        <v>0</v>
      </c>
      <c r="O31" s="154">
        <f t="shared" si="0"/>
        <v>23014.35</v>
      </c>
      <c r="P31" s="270">
        <f>SUM(P27:Q30)</f>
        <v>276172.2</v>
      </c>
      <c r="Q31" s="271"/>
      <c r="T31" s="126"/>
      <c r="U31" s="144"/>
      <c r="V31" s="150"/>
      <c r="W31" s="150"/>
    </row>
    <row r="32" spans="2:23" s="126" customFormat="1" ht="20.25">
      <c r="B32" s="292" t="s">
        <v>72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U32" s="144"/>
      <c r="V32" s="150"/>
      <c r="W32" s="150"/>
    </row>
    <row r="33" spans="2:23" s="126" customFormat="1" ht="31.5">
      <c r="B33" s="151">
        <v>7</v>
      </c>
      <c r="C33" s="281" t="s">
        <v>73</v>
      </c>
      <c r="D33" s="281"/>
      <c r="E33" s="281"/>
      <c r="F33" s="152" t="s">
        <v>65</v>
      </c>
      <c r="G33" s="155">
        <v>1</v>
      </c>
      <c r="H33" s="154">
        <f>ROUND(H24-(H24*0.1),0)</f>
        <v>4578</v>
      </c>
      <c r="I33" s="148">
        <f>IF(S33=30,ROUND(H33*(S33/100),2),"")</f>
        <v>1373.4</v>
      </c>
      <c r="J33" s="149"/>
      <c r="K33" s="149"/>
      <c r="L33" s="149">
        <f>IF(S33=40,ROUND(H33*(S33/100),2),"")</f>
      </c>
      <c r="M33" s="149">
        <f>IF(S33=45,ROUND(H33*(S33/100),2),"")</f>
      </c>
      <c r="N33" s="154">
        <f>IF(T33=0,"",ROUND(ROUND(H33,2)*(T33/100),2))</f>
      </c>
      <c r="O33" s="148">
        <f>SUM(H33:N33)</f>
        <v>5951.4</v>
      </c>
      <c r="P33" s="266">
        <f>O33*12</f>
        <v>71416.79999999999</v>
      </c>
      <c r="Q33" s="267"/>
      <c r="R33" s="126">
        <v>2.42</v>
      </c>
      <c r="S33" s="126">
        <v>30</v>
      </c>
      <c r="T33" s="126">
        <v>0</v>
      </c>
      <c r="U33" s="144">
        <f>O33-'[4]01.01.19 р. '!$O$33</f>
        <v>930.5999999999995</v>
      </c>
      <c r="V33" s="150">
        <f>U33*0.805</f>
        <v>749.1329999999996</v>
      </c>
      <c r="W33" s="150"/>
    </row>
    <row r="34" spans="2:23" s="126" customFormat="1" ht="18.75">
      <c r="B34" s="151">
        <v>8</v>
      </c>
      <c r="C34" s="281" t="s">
        <v>69</v>
      </c>
      <c r="D34" s="281"/>
      <c r="E34" s="281"/>
      <c r="F34" s="152">
        <v>11</v>
      </c>
      <c r="G34" s="155">
        <v>1</v>
      </c>
      <c r="H34" s="154">
        <f>ROUND(у*R34,0)</f>
        <v>4141</v>
      </c>
      <c r="I34" s="148">
        <f>IF(S34=30,ROUND(H34*(S34/100),2),"")</f>
        <v>1242.3</v>
      </c>
      <c r="J34" s="149"/>
      <c r="K34" s="149"/>
      <c r="L34" s="149">
        <f>IF(S34=40,ROUND(H34*(S34/100),2),"")</f>
      </c>
      <c r="M34" s="149">
        <f>IF(S34=45,ROUND(H34*(S34/100),2),"")</f>
      </c>
      <c r="N34" s="154">
        <f>IF(T34=0,"",ROUND(ROUND(H34,2)*(T34/100),2))</f>
      </c>
      <c r="O34" s="148">
        <f>SUM(H34:N34)</f>
        <v>5383.3</v>
      </c>
      <c r="P34" s="266">
        <f>O34*12</f>
        <v>64599.600000000006</v>
      </c>
      <c r="Q34" s="267"/>
      <c r="R34" s="126">
        <v>1.97</v>
      </c>
      <c r="S34" s="126">
        <v>30</v>
      </c>
      <c r="T34" s="126">
        <v>0</v>
      </c>
      <c r="U34" s="144">
        <f>O34-'[4]01.01.19 р. '!$O$34</f>
        <v>842.5</v>
      </c>
      <c r="V34" s="150">
        <f>U34*0.805</f>
        <v>678.2125000000001</v>
      </c>
      <c r="W34" s="150"/>
    </row>
    <row r="35" spans="2:23" s="126" customFormat="1" ht="18.75">
      <c r="B35" s="151">
        <v>9</v>
      </c>
      <c r="C35" s="281" t="s">
        <v>69</v>
      </c>
      <c r="D35" s="281"/>
      <c r="E35" s="281"/>
      <c r="F35" s="152">
        <v>11</v>
      </c>
      <c r="G35" s="155">
        <v>1</v>
      </c>
      <c r="H35" s="154">
        <f>ROUND(у*R35,0)</f>
        <v>4141</v>
      </c>
      <c r="I35" s="148">
        <f>IF(S35=30,ROUND(H35*(S35/100),2),"")</f>
        <v>1242.3</v>
      </c>
      <c r="J35" s="149"/>
      <c r="K35" s="149"/>
      <c r="L35" s="149">
        <f>IF(S40=40,ROUND(H40*(S40/100),2),"")</f>
      </c>
      <c r="M35" s="149">
        <f>IF(S35=45,ROUND(H35*(S35/100),2),"")</f>
      </c>
      <c r="N35" s="154">
        <f>IF(T35=0,"",ROUND(ROUND(H35,2)*(T35/100),2))</f>
        <v>621.15</v>
      </c>
      <c r="O35" s="148">
        <f>SUM(H35:N35)</f>
        <v>6004.45</v>
      </c>
      <c r="P35" s="266">
        <f>O35*12</f>
        <v>72053.4</v>
      </c>
      <c r="Q35" s="267"/>
      <c r="R35" s="126">
        <v>1.97</v>
      </c>
      <c r="S35" s="126">
        <v>30</v>
      </c>
      <c r="T35" s="126">
        <v>15</v>
      </c>
      <c r="U35" s="144">
        <f>O35-'[4]01.01.19 р. '!$O$35</f>
        <v>896.0499999999993</v>
      </c>
      <c r="V35" s="150">
        <f>U35*0.805</f>
        <v>721.3202499999994</v>
      </c>
      <c r="W35" s="150"/>
    </row>
    <row r="36" spans="2:23" s="126" customFormat="1" ht="37.5" customHeight="1">
      <c r="B36" s="151">
        <v>10</v>
      </c>
      <c r="C36" s="281" t="s">
        <v>70</v>
      </c>
      <c r="D36" s="281"/>
      <c r="E36" s="281"/>
      <c r="F36" s="152">
        <v>8</v>
      </c>
      <c r="G36" s="155">
        <v>1</v>
      </c>
      <c r="H36" s="154">
        <f>ROUND(у*R36,0)</f>
        <v>3447</v>
      </c>
      <c r="I36" s="148">
        <f>IF(S36=30,ROUND(H36*(S36/100),2),"")</f>
      </c>
      <c r="J36" s="149"/>
      <c r="K36" s="149"/>
      <c r="L36" s="149">
        <f>IF(S36=40,ROUND(H36*(S36/100),2),"")</f>
        <v>1378.8</v>
      </c>
      <c r="M36" s="149">
        <f>IF(S36=45,ROUND(H36*(S36/100),2),"")</f>
      </c>
      <c r="N36" s="154">
        <f>IF(T36=0,"",ROUND(ROUND(H36,2)*(T36/100),2))</f>
      </c>
      <c r="O36" s="148">
        <f>SUM(H36:N36)</f>
        <v>4825.8</v>
      </c>
      <c r="P36" s="266">
        <f>O36*12</f>
        <v>57909.600000000006</v>
      </c>
      <c r="Q36" s="267"/>
      <c r="R36" s="126">
        <v>1.64</v>
      </c>
      <c r="S36" s="126">
        <v>40</v>
      </c>
      <c r="T36" s="126">
        <v>0</v>
      </c>
      <c r="U36" s="144">
        <f>O36-'[4]01.01.19 р. '!$O$36</f>
        <v>573.3000000000002</v>
      </c>
      <c r="V36" s="150">
        <f>U36*0.805</f>
        <v>461.5065000000002</v>
      </c>
      <c r="W36" s="150"/>
    </row>
    <row r="37" spans="2:23" s="127" customFormat="1" ht="18.75">
      <c r="B37" s="295" t="s">
        <v>71</v>
      </c>
      <c r="C37" s="296"/>
      <c r="D37" s="296"/>
      <c r="E37" s="296"/>
      <c r="F37" s="157"/>
      <c r="G37" s="154">
        <f aca="true" t="shared" si="1" ref="G37:O37">SUM(G33:G36)</f>
        <v>4</v>
      </c>
      <c r="H37" s="154">
        <f t="shared" si="1"/>
        <v>16307</v>
      </c>
      <c r="I37" s="154">
        <f t="shared" si="1"/>
        <v>3858</v>
      </c>
      <c r="J37" s="154">
        <f t="shared" si="1"/>
        <v>0</v>
      </c>
      <c r="K37" s="154">
        <f t="shared" si="1"/>
        <v>0</v>
      </c>
      <c r="L37" s="154">
        <f t="shared" si="1"/>
        <v>1378.8</v>
      </c>
      <c r="M37" s="154">
        <f t="shared" si="1"/>
        <v>0</v>
      </c>
      <c r="N37" s="154">
        <f t="shared" si="1"/>
        <v>621.15</v>
      </c>
      <c r="O37" s="154">
        <f t="shared" si="1"/>
        <v>22164.95</v>
      </c>
      <c r="P37" s="270">
        <f>SUM(P33:Q36)</f>
        <v>265979.4</v>
      </c>
      <c r="Q37" s="271"/>
      <c r="T37" s="126"/>
      <c r="U37" s="144"/>
      <c r="V37" s="150"/>
      <c r="W37" s="150"/>
    </row>
    <row r="38" spans="2:23" s="126" customFormat="1" ht="20.25">
      <c r="B38" s="292" t="s">
        <v>74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4"/>
      <c r="U38" s="144"/>
      <c r="V38" s="150"/>
      <c r="W38" s="150"/>
    </row>
    <row r="39" spans="2:23" s="126" customFormat="1" ht="33" customHeight="1">
      <c r="B39" s="151">
        <v>11</v>
      </c>
      <c r="C39" s="281" t="s">
        <v>75</v>
      </c>
      <c r="D39" s="281"/>
      <c r="E39" s="281"/>
      <c r="F39" s="152" t="s">
        <v>68</v>
      </c>
      <c r="G39" s="155">
        <v>1</v>
      </c>
      <c r="H39" s="154">
        <f>ROUND(H24-(H24*0.05),0)</f>
        <v>4833</v>
      </c>
      <c r="I39" s="148">
        <f aca="true" t="shared" si="2" ref="I39:I46">IF(S39=30,ROUND(H39*(S39/100),2),"")</f>
      </c>
      <c r="J39" s="154"/>
      <c r="K39" s="154"/>
      <c r="L39" s="149">
        <f aca="true" t="shared" si="3" ref="L39:L46">IF(S39=40,ROUND(H39*(S39/100),2),"")</f>
      </c>
      <c r="M39" s="149">
        <f>IF(S39=45,ROUND(H39*(S39/100),2),"")</f>
        <v>2174.85</v>
      </c>
      <c r="N39" s="154">
        <f aca="true" t="shared" si="4" ref="N39:N46">IF(T39=0,"",ROUND(ROUND(H39,2)*(T39/100),2))</f>
      </c>
      <c r="O39" s="148">
        <f aca="true" t="shared" si="5" ref="O39:O46">SUM(H39:N39)</f>
        <v>7007.85</v>
      </c>
      <c r="P39" s="266">
        <f aca="true" t="shared" si="6" ref="P39:P46">O39*12</f>
        <v>84094.20000000001</v>
      </c>
      <c r="Q39" s="267"/>
      <c r="R39" s="126">
        <v>2.42</v>
      </c>
      <c r="S39" s="126">
        <v>45</v>
      </c>
      <c r="T39" s="126">
        <v>0</v>
      </c>
      <c r="U39" s="144">
        <f>O39-'[4]01.01.19 р. '!$O$39</f>
        <v>1044.9000000000005</v>
      </c>
      <c r="V39" s="150">
        <f aca="true" t="shared" si="7" ref="V39:V46">U39*0.805</f>
        <v>841.1445000000004</v>
      </c>
      <c r="W39" s="150"/>
    </row>
    <row r="40" spans="2:23" s="126" customFormat="1" ht="18.75">
      <c r="B40" s="151">
        <v>12</v>
      </c>
      <c r="C40" s="281" t="s">
        <v>69</v>
      </c>
      <c r="D40" s="281"/>
      <c r="E40" s="281"/>
      <c r="F40" s="152">
        <v>11</v>
      </c>
      <c r="G40" s="155">
        <v>1</v>
      </c>
      <c r="H40" s="154">
        <f>ROUND(у*R40,0)</f>
        <v>4141</v>
      </c>
      <c r="I40" s="148">
        <f t="shared" si="2"/>
        <v>1242.3</v>
      </c>
      <c r="J40" s="154"/>
      <c r="K40" s="154"/>
      <c r="L40" s="149">
        <f t="shared" si="3"/>
      </c>
      <c r="M40" s="149">
        <f>IF(S45=45,ROUND(H45*(S45/100),2),"")</f>
      </c>
      <c r="N40" s="154">
        <f t="shared" si="4"/>
      </c>
      <c r="O40" s="148">
        <f t="shared" si="5"/>
        <v>5383.3</v>
      </c>
      <c r="P40" s="266">
        <f t="shared" si="6"/>
        <v>64599.600000000006</v>
      </c>
      <c r="Q40" s="267"/>
      <c r="R40" s="126">
        <v>1.97</v>
      </c>
      <c r="S40" s="126">
        <v>30</v>
      </c>
      <c r="T40" s="126">
        <v>0</v>
      </c>
      <c r="U40" s="144">
        <f>O40-'[4]01.01.19 р. '!$O$40</f>
        <v>842.5</v>
      </c>
      <c r="V40" s="150">
        <f t="shared" si="7"/>
        <v>678.2125000000001</v>
      </c>
      <c r="W40" s="150"/>
    </row>
    <row r="41" spans="2:23" s="126" customFormat="1" ht="18.75">
      <c r="B41" s="151">
        <v>13</v>
      </c>
      <c r="C41" s="281" t="s">
        <v>69</v>
      </c>
      <c r="D41" s="281"/>
      <c r="E41" s="281"/>
      <c r="F41" s="152">
        <v>11</v>
      </c>
      <c r="G41" s="155">
        <v>1</v>
      </c>
      <c r="H41" s="154">
        <f aca="true" t="shared" si="8" ref="H41:H46">ROUND(у*R41,0)*G41</f>
        <v>4141</v>
      </c>
      <c r="I41" s="148">
        <f t="shared" si="2"/>
        <v>1242.3</v>
      </c>
      <c r="J41" s="154"/>
      <c r="K41" s="154"/>
      <c r="L41" s="149">
        <f t="shared" si="3"/>
      </c>
      <c r="M41" s="149">
        <f aca="true" t="shared" si="9" ref="M41:M46">IF(S41=45,ROUND(H41*(S41/100),2),"")</f>
      </c>
      <c r="N41" s="154">
        <f t="shared" si="4"/>
      </c>
      <c r="O41" s="148">
        <f t="shared" si="5"/>
        <v>5383.3</v>
      </c>
      <c r="P41" s="266">
        <f t="shared" si="6"/>
        <v>64599.600000000006</v>
      </c>
      <c r="Q41" s="267"/>
      <c r="R41" s="126">
        <v>1.97</v>
      </c>
      <c r="S41" s="126">
        <v>30</v>
      </c>
      <c r="T41" s="126">
        <v>0</v>
      </c>
      <c r="U41" s="144">
        <f>O41-'[4]01.01.19 р. '!$O$41</f>
        <v>842.5</v>
      </c>
      <c r="V41" s="150">
        <f t="shared" si="7"/>
        <v>678.2125000000001</v>
      </c>
      <c r="W41" s="150"/>
    </row>
    <row r="42" spans="2:23" s="126" customFormat="1" ht="18.75">
      <c r="B42" s="151">
        <v>14</v>
      </c>
      <c r="C42" s="281" t="s">
        <v>69</v>
      </c>
      <c r="D42" s="281"/>
      <c r="E42" s="281"/>
      <c r="F42" s="152">
        <v>11</v>
      </c>
      <c r="G42" s="155">
        <v>0.25</v>
      </c>
      <c r="H42" s="154">
        <f t="shared" si="8"/>
        <v>1035.25</v>
      </c>
      <c r="I42" s="148">
        <f t="shared" si="2"/>
        <v>310.58</v>
      </c>
      <c r="J42" s="154"/>
      <c r="K42" s="154"/>
      <c r="L42" s="149">
        <f t="shared" si="3"/>
      </c>
      <c r="M42" s="149">
        <f t="shared" si="9"/>
      </c>
      <c r="N42" s="154">
        <f t="shared" si="4"/>
      </c>
      <c r="O42" s="148">
        <f t="shared" si="5"/>
        <v>1345.83</v>
      </c>
      <c r="P42" s="266">
        <f t="shared" si="6"/>
        <v>16149.96</v>
      </c>
      <c r="Q42" s="267"/>
      <c r="R42" s="126">
        <v>1.97</v>
      </c>
      <c r="S42" s="126">
        <v>30</v>
      </c>
      <c r="T42" s="126">
        <v>0</v>
      </c>
      <c r="U42" s="144">
        <f>O42-'[4]01.01.19 р. '!$O$42</f>
        <v>210.62999999999988</v>
      </c>
      <c r="V42" s="150">
        <f t="shared" si="7"/>
        <v>169.55714999999992</v>
      </c>
      <c r="W42" s="150"/>
    </row>
    <row r="43" spans="2:23" s="126" customFormat="1" ht="18.75">
      <c r="B43" s="151">
        <v>15</v>
      </c>
      <c r="C43" s="281" t="s">
        <v>69</v>
      </c>
      <c r="D43" s="281"/>
      <c r="E43" s="281"/>
      <c r="F43" s="152">
        <v>11</v>
      </c>
      <c r="G43" s="155">
        <v>0.25</v>
      </c>
      <c r="H43" s="154">
        <f t="shared" si="8"/>
        <v>1035.25</v>
      </c>
      <c r="I43" s="148">
        <f t="shared" si="2"/>
        <v>310.58</v>
      </c>
      <c r="J43" s="154"/>
      <c r="K43" s="154"/>
      <c r="L43" s="149">
        <f t="shared" si="3"/>
      </c>
      <c r="M43" s="149">
        <f t="shared" si="9"/>
      </c>
      <c r="N43" s="154">
        <f t="shared" si="4"/>
        <v>155.29</v>
      </c>
      <c r="O43" s="148">
        <f t="shared" si="5"/>
        <v>1501.12</v>
      </c>
      <c r="P43" s="266">
        <f t="shared" si="6"/>
        <v>18013.44</v>
      </c>
      <c r="Q43" s="267"/>
      <c r="R43" s="126">
        <v>1.97</v>
      </c>
      <c r="S43" s="126">
        <v>30</v>
      </c>
      <c r="T43" s="126">
        <v>15</v>
      </c>
      <c r="U43" s="144">
        <f>O43-'[4]01.01.19 р. '!$O$43</f>
        <v>224.01999999999975</v>
      </c>
      <c r="V43" s="150">
        <f t="shared" si="7"/>
        <v>180.33609999999982</v>
      </c>
      <c r="W43" s="150"/>
    </row>
    <row r="44" spans="2:23" s="126" customFormat="1" ht="18.75">
      <c r="B44" s="151">
        <v>16</v>
      </c>
      <c r="C44" s="281" t="s">
        <v>69</v>
      </c>
      <c r="D44" s="281"/>
      <c r="E44" s="281"/>
      <c r="F44" s="152">
        <v>11</v>
      </c>
      <c r="G44" s="155">
        <v>0.5</v>
      </c>
      <c r="H44" s="154">
        <f t="shared" si="8"/>
        <v>2070.5</v>
      </c>
      <c r="I44" s="148">
        <f t="shared" si="2"/>
        <v>621.15</v>
      </c>
      <c r="J44" s="154"/>
      <c r="K44" s="154"/>
      <c r="L44" s="149">
        <f t="shared" si="3"/>
      </c>
      <c r="M44" s="149">
        <f t="shared" si="9"/>
      </c>
      <c r="N44" s="154">
        <f t="shared" si="4"/>
      </c>
      <c r="O44" s="148">
        <f t="shared" si="5"/>
        <v>2691.65</v>
      </c>
      <c r="P44" s="266">
        <f t="shared" si="6"/>
        <v>32299.800000000003</v>
      </c>
      <c r="Q44" s="267"/>
      <c r="R44" s="126">
        <v>1.97</v>
      </c>
      <c r="S44" s="126">
        <v>30</v>
      </c>
      <c r="T44" s="126">
        <v>0</v>
      </c>
      <c r="U44" s="144">
        <f>O44-'[4]01.01.19 р. '!$O$44</f>
        <v>421.25</v>
      </c>
      <c r="V44" s="150">
        <f t="shared" si="7"/>
        <v>339.10625000000005</v>
      </c>
      <c r="W44" s="150"/>
    </row>
    <row r="45" spans="2:23" s="126" customFormat="1" ht="18.75">
      <c r="B45" s="151">
        <v>17</v>
      </c>
      <c r="C45" s="281" t="s">
        <v>76</v>
      </c>
      <c r="D45" s="281"/>
      <c r="E45" s="281"/>
      <c r="F45" s="152">
        <v>9</v>
      </c>
      <c r="G45" s="155">
        <v>0.5</v>
      </c>
      <c r="H45" s="154">
        <f t="shared" si="8"/>
        <v>1818</v>
      </c>
      <c r="I45" s="148">
        <f t="shared" si="2"/>
        <v>545.4</v>
      </c>
      <c r="J45" s="154"/>
      <c r="K45" s="154"/>
      <c r="L45" s="149">
        <f t="shared" si="3"/>
      </c>
      <c r="M45" s="149">
        <f t="shared" si="9"/>
      </c>
      <c r="N45" s="154">
        <f t="shared" si="4"/>
        <v>272.7</v>
      </c>
      <c r="O45" s="148">
        <f t="shared" si="5"/>
        <v>2636.1</v>
      </c>
      <c r="P45" s="266">
        <f t="shared" si="6"/>
        <v>31633.199999999997</v>
      </c>
      <c r="Q45" s="267"/>
      <c r="R45" s="126">
        <v>1.73</v>
      </c>
      <c r="S45" s="126">
        <v>30</v>
      </c>
      <c r="T45" s="126">
        <v>15</v>
      </c>
      <c r="U45" s="144">
        <f>O45-'[4]01.01.19 р. '!$O$45</f>
        <v>226.92000000000007</v>
      </c>
      <c r="V45" s="150">
        <f t="shared" si="7"/>
        <v>182.67060000000006</v>
      </c>
      <c r="W45" s="150"/>
    </row>
    <row r="46" spans="2:23" s="126" customFormat="1" ht="18.75">
      <c r="B46" s="151">
        <v>18</v>
      </c>
      <c r="C46" s="281" t="s">
        <v>76</v>
      </c>
      <c r="D46" s="281"/>
      <c r="E46" s="281"/>
      <c r="F46" s="152">
        <v>9</v>
      </c>
      <c r="G46" s="155">
        <v>0.5</v>
      </c>
      <c r="H46" s="154">
        <f t="shared" si="8"/>
        <v>1818</v>
      </c>
      <c r="I46" s="148">
        <f t="shared" si="2"/>
        <v>545.4</v>
      </c>
      <c r="J46" s="154"/>
      <c r="K46" s="154"/>
      <c r="L46" s="149">
        <f t="shared" si="3"/>
      </c>
      <c r="M46" s="149">
        <f t="shared" si="9"/>
      </c>
      <c r="N46" s="154">
        <f t="shared" si="4"/>
        <v>272.7</v>
      </c>
      <c r="O46" s="148">
        <f t="shared" si="5"/>
        <v>2636.1</v>
      </c>
      <c r="P46" s="266">
        <f t="shared" si="6"/>
        <v>31633.199999999997</v>
      </c>
      <c r="Q46" s="267"/>
      <c r="R46" s="126">
        <v>1.73</v>
      </c>
      <c r="S46" s="126">
        <v>30</v>
      </c>
      <c r="T46" s="126">
        <v>15</v>
      </c>
      <c r="U46" s="144">
        <f>O46-'[4]01.01.19 р. '!$O$46</f>
        <v>226.92000000000007</v>
      </c>
      <c r="V46" s="150">
        <f t="shared" si="7"/>
        <v>182.67060000000006</v>
      </c>
      <c r="W46" s="150"/>
    </row>
    <row r="47" spans="2:23" s="127" customFormat="1" ht="19.5" thickBot="1">
      <c r="B47" s="268" t="s">
        <v>71</v>
      </c>
      <c r="C47" s="269"/>
      <c r="D47" s="269"/>
      <c r="E47" s="269"/>
      <c r="F47" s="158"/>
      <c r="G47" s="154">
        <f aca="true" t="shared" si="10" ref="G47:O47">SUM(G39:G46)</f>
        <v>5</v>
      </c>
      <c r="H47" s="154">
        <f t="shared" si="10"/>
        <v>20892</v>
      </c>
      <c r="I47" s="154">
        <f t="shared" si="10"/>
        <v>4817.709999999999</v>
      </c>
      <c r="J47" s="154">
        <f t="shared" si="10"/>
        <v>0</v>
      </c>
      <c r="K47" s="154">
        <f t="shared" si="10"/>
        <v>0</v>
      </c>
      <c r="L47" s="154">
        <f t="shared" si="10"/>
        <v>0</v>
      </c>
      <c r="M47" s="154">
        <f t="shared" si="10"/>
        <v>2174.85</v>
      </c>
      <c r="N47" s="154">
        <f t="shared" si="10"/>
        <v>700.69</v>
      </c>
      <c r="O47" s="154">
        <f t="shared" si="10"/>
        <v>28585.249999999996</v>
      </c>
      <c r="P47" s="270">
        <f>SUM(P39:Q46)</f>
        <v>343023.00000000006</v>
      </c>
      <c r="Q47" s="271"/>
      <c r="V47" s="150"/>
      <c r="W47" s="150"/>
    </row>
    <row r="48" spans="2:24" s="126" customFormat="1" ht="25.5" customHeight="1" thickBot="1">
      <c r="B48" s="285" t="s">
        <v>77</v>
      </c>
      <c r="C48" s="286"/>
      <c r="D48" s="286"/>
      <c r="E48" s="286"/>
      <c r="F48" s="159"/>
      <c r="G48" s="160">
        <f aca="true" t="shared" si="11" ref="G48:O48">G47+G37+G31+SUM(G24:G25)</f>
        <v>15</v>
      </c>
      <c r="H48" s="160">
        <f t="shared" si="11"/>
        <v>63426</v>
      </c>
      <c r="I48" s="160">
        <f t="shared" si="11"/>
        <v>9918.009999999998</v>
      </c>
      <c r="J48" s="160">
        <f t="shared" si="11"/>
        <v>0</v>
      </c>
      <c r="K48" s="160">
        <f t="shared" si="11"/>
        <v>0</v>
      </c>
      <c r="L48" s="160">
        <f t="shared" si="11"/>
        <v>4414</v>
      </c>
      <c r="M48" s="160">
        <f t="shared" si="11"/>
        <v>8698.95</v>
      </c>
      <c r="N48" s="160">
        <f t="shared" si="11"/>
        <v>1321.8400000000001</v>
      </c>
      <c r="O48" s="160">
        <f t="shared" si="11"/>
        <v>87778.79999999999</v>
      </c>
      <c r="P48" s="283">
        <f>P47+P37+P31+SUM(P24:Q25)</f>
        <v>1053345.6</v>
      </c>
      <c r="Q48" s="284"/>
      <c r="T48" s="144"/>
      <c r="U48" s="144"/>
      <c r="V48" s="150">
        <f>P48+H48</f>
        <v>1116771.6</v>
      </c>
      <c r="W48" s="144"/>
      <c r="X48" s="144"/>
    </row>
    <row r="49" spans="2:23" s="127" customFormat="1" ht="21" customHeight="1">
      <c r="B49" s="125"/>
      <c r="I49" s="128"/>
      <c r="J49" s="128"/>
      <c r="K49" s="128"/>
      <c r="L49" s="128"/>
      <c r="M49" s="128"/>
      <c r="N49" s="128"/>
      <c r="O49" s="128"/>
      <c r="P49" s="128"/>
      <c r="Q49" s="128"/>
      <c r="R49" s="150">
        <f>O48-'[3]01.05.18 р.'!O48</f>
        <v>17727.72999999998</v>
      </c>
      <c r="V49" s="150">
        <f>V48-'[3]01.05.18 р.'!U48</f>
        <v>222993.76000000013</v>
      </c>
      <c r="W49" s="150"/>
    </row>
    <row r="50" spans="2:22" s="127" customFormat="1" ht="20.25" hidden="1">
      <c r="B50" s="291" t="s">
        <v>63</v>
      </c>
      <c r="C50" s="291"/>
      <c r="D50" s="291"/>
      <c r="E50" s="291"/>
      <c r="F50" s="161"/>
      <c r="G50" s="162"/>
      <c r="H50" s="162"/>
      <c r="L50" s="287" t="s">
        <v>78</v>
      </c>
      <c r="M50" s="287"/>
      <c r="N50" s="287"/>
      <c r="O50" s="126"/>
      <c r="P50" s="163"/>
      <c r="Q50" s="163"/>
      <c r="U50" s="150"/>
      <c r="V50" s="127">
        <f>V49/12</f>
        <v>18582.813333333343</v>
      </c>
    </row>
    <row r="51" spans="2:22" s="127" customFormat="1" ht="18.75" hidden="1">
      <c r="B51" s="164"/>
      <c r="C51" s="126"/>
      <c r="D51" s="130"/>
      <c r="E51" s="126"/>
      <c r="F51" s="126"/>
      <c r="G51" s="273" t="s">
        <v>79</v>
      </c>
      <c r="H51" s="273"/>
      <c r="L51" s="288" t="s">
        <v>46</v>
      </c>
      <c r="M51" s="288"/>
      <c r="N51" s="288"/>
      <c r="O51" s="126"/>
      <c r="P51" s="133"/>
      <c r="Q51" s="133"/>
      <c r="V51" s="127">
        <f>V50*8</f>
        <v>148662.50666666674</v>
      </c>
    </row>
    <row r="52" spans="2:23" s="127" customFormat="1" ht="20.25" hidden="1">
      <c r="B52" s="290" t="s">
        <v>64</v>
      </c>
      <c r="C52" s="290"/>
      <c r="D52" s="290"/>
      <c r="E52" s="290"/>
      <c r="F52" s="165"/>
      <c r="G52" s="289"/>
      <c r="H52" s="289"/>
      <c r="L52" s="287" t="s">
        <v>80</v>
      </c>
      <c r="M52" s="287"/>
      <c r="N52" s="287"/>
      <c r="O52" s="163"/>
      <c r="P52" s="163"/>
      <c r="Q52" s="163"/>
      <c r="S52" s="127">
        <f>O45*2</f>
        <v>5272.2</v>
      </c>
      <c r="V52" s="127">
        <f>V51*0.22</f>
        <v>32705.751466666683</v>
      </c>
      <c r="W52" s="150"/>
    </row>
    <row r="53" spans="2:17" s="127" customFormat="1" ht="14.25" hidden="1">
      <c r="B53" s="125"/>
      <c r="G53" s="273" t="s">
        <v>79</v>
      </c>
      <c r="H53" s="273"/>
      <c r="L53" s="282" t="s">
        <v>46</v>
      </c>
      <c r="M53" s="282"/>
      <c r="N53" s="282"/>
      <c r="O53" s="128"/>
      <c r="P53" s="133"/>
      <c r="Q53" s="133"/>
    </row>
    <row r="54" spans="2:17" s="127" customFormat="1" ht="18.75">
      <c r="B54" s="164"/>
      <c r="C54" s="126"/>
      <c r="D54" s="130"/>
      <c r="E54" s="126"/>
      <c r="F54" s="126"/>
      <c r="G54" s="126"/>
      <c r="H54" s="166"/>
      <c r="I54" s="126"/>
      <c r="J54" s="126"/>
      <c r="K54" s="126"/>
      <c r="L54" s="126"/>
      <c r="M54" s="126"/>
      <c r="N54" s="126"/>
      <c r="O54" s="126"/>
      <c r="P54" s="126"/>
      <c r="Q54" s="126"/>
    </row>
    <row r="55" spans="2:17" s="127" customFormat="1" ht="18.75">
      <c r="B55" s="134" t="s">
        <v>48</v>
      </c>
      <c r="C55" s="134"/>
      <c r="D55" s="130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30"/>
      <c r="Q55" s="130"/>
    </row>
    <row r="56" spans="2:17" s="171" customFormat="1" ht="39.75" customHeight="1">
      <c r="B56" s="301" t="s">
        <v>207</v>
      </c>
      <c r="C56" s="301"/>
      <c r="D56" s="301"/>
      <c r="E56" s="301"/>
      <c r="F56" s="301"/>
      <c r="G56" s="301"/>
      <c r="H56" s="167">
        <f>ROUNDUP(P48/100,0)*100</f>
        <v>1053400</v>
      </c>
      <c r="I56" s="302" t="s">
        <v>81</v>
      </c>
      <c r="J56" s="302"/>
      <c r="K56" s="302"/>
      <c r="L56" s="302"/>
      <c r="M56" s="169">
        <f>ROUND(H48/100,0)*100</f>
        <v>63400</v>
      </c>
      <c r="N56" s="168" t="s">
        <v>82</v>
      </c>
      <c r="O56" s="169">
        <f>ROUND((H56+M56)/100,0)*100</f>
        <v>1116800</v>
      </c>
      <c r="P56" s="170" t="s">
        <v>84</v>
      </c>
      <c r="Q56" s="183">
        <f>ROUND(((O56/962800)-1)*100,1)/100</f>
        <v>0.16</v>
      </c>
    </row>
    <row r="57" spans="2:17" s="171" customFormat="1" ht="15">
      <c r="B57" s="172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8" s="170" customFormat="1" ht="18">
      <c r="B58" s="174"/>
      <c r="C58" s="170" t="s">
        <v>83</v>
      </c>
      <c r="E58" s="184">
        <f>ROUND(O56*0.22/100,0)*100</f>
        <v>245700</v>
      </c>
      <c r="F58" s="170" t="s">
        <v>84</v>
      </c>
      <c r="G58" s="182">
        <f>ROUND(((E58/211800)-1)*100,1)</f>
        <v>16</v>
      </c>
      <c r="H58" s="182" t="s">
        <v>5</v>
      </c>
    </row>
    <row r="59" spans="2:17" s="127" customFormat="1" ht="18.75">
      <c r="B59" s="134"/>
      <c r="C59" s="134"/>
      <c r="D59" s="130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30"/>
      <c r="Q59" s="130"/>
    </row>
    <row r="60" spans="2:17" s="127" customFormat="1" ht="18.75">
      <c r="B60" s="134"/>
      <c r="C60" s="134"/>
      <c r="D60" s="130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30"/>
      <c r="Q60" s="130"/>
    </row>
    <row r="61" spans="4:14" ht="15.75">
      <c r="D61" s="177"/>
      <c r="I61" s="176"/>
      <c r="J61" s="176"/>
      <c r="K61" s="176"/>
      <c r="L61" s="176"/>
      <c r="M61" s="176"/>
      <c r="N61" s="176"/>
    </row>
    <row r="62" spans="15:16" ht="14.25">
      <c r="O62" s="179"/>
      <c r="P62" s="180"/>
    </row>
  </sheetData>
  <sheetProtection/>
  <mergeCells count="85">
    <mergeCell ref="O10:Q10"/>
    <mergeCell ref="O11:Q11"/>
    <mergeCell ref="I10:N10"/>
    <mergeCell ref="I11:N11"/>
    <mergeCell ref="I1:Q1"/>
    <mergeCell ref="I2:Q2"/>
    <mergeCell ref="I3:Q3"/>
    <mergeCell ref="I4:Q5"/>
    <mergeCell ref="B56:G56"/>
    <mergeCell ref="I56:L56"/>
    <mergeCell ref="I6:O6"/>
    <mergeCell ref="I7:Q7"/>
    <mergeCell ref="C23:E23"/>
    <mergeCell ref="I8:Q8"/>
    <mergeCell ref="O21:O22"/>
    <mergeCell ref="H21:H22"/>
    <mergeCell ref="B21:B22"/>
    <mergeCell ref="C21:E22"/>
    <mergeCell ref="C30:E30"/>
    <mergeCell ref="P24:Q24"/>
    <mergeCell ref="P25:Q25"/>
    <mergeCell ref="G21:G22"/>
    <mergeCell ref="P29:Q29"/>
    <mergeCell ref="P28:Q28"/>
    <mergeCell ref="B26:Q26"/>
    <mergeCell ref="C28:E28"/>
    <mergeCell ref="P27:Q27"/>
    <mergeCell ref="C24:E24"/>
    <mergeCell ref="C25:E25"/>
    <mergeCell ref="C27:E27"/>
    <mergeCell ref="B31:E31"/>
    <mergeCell ref="C33:E33"/>
    <mergeCell ref="B32:Q32"/>
    <mergeCell ref="P31:Q31"/>
    <mergeCell ref="P30:Q30"/>
    <mergeCell ref="C29:E29"/>
    <mergeCell ref="B38:Q38"/>
    <mergeCell ref="P34:Q34"/>
    <mergeCell ref="P36:Q36"/>
    <mergeCell ref="P37:Q37"/>
    <mergeCell ref="B37:E37"/>
    <mergeCell ref="P33:Q33"/>
    <mergeCell ref="G52:H52"/>
    <mergeCell ref="G53:H53"/>
    <mergeCell ref="B52:E52"/>
    <mergeCell ref="L52:N52"/>
    <mergeCell ref="C34:E34"/>
    <mergeCell ref="P35:Q35"/>
    <mergeCell ref="C36:E36"/>
    <mergeCell ref="C35:E35"/>
    <mergeCell ref="B50:E50"/>
    <mergeCell ref="C39:E39"/>
    <mergeCell ref="P39:Q39"/>
    <mergeCell ref="C40:E40"/>
    <mergeCell ref="P40:Q40"/>
    <mergeCell ref="L53:N53"/>
    <mergeCell ref="P48:Q48"/>
    <mergeCell ref="B48:E48"/>
    <mergeCell ref="L50:N50"/>
    <mergeCell ref="L51:N51"/>
    <mergeCell ref="G51:H51"/>
    <mergeCell ref="C41:E41"/>
    <mergeCell ref="P46:Q46"/>
    <mergeCell ref="C42:E42"/>
    <mergeCell ref="P42:Q42"/>
    <mergeCell ref="C43:E43"/>
    <mergeCell ref="C45:E45"/>
    <mergeCell ref="P43:Q43"/>
    <mergeCell ref="I13:N13"/>
    <mergeCell ref="I14:N14"/>
    <mergeCell ref="P23:Q23"/>
    <mergeCell ref="B20:Q20"/>
    <mergeCell ref="B18:P18"/>
    <mergeCell ref="C19:P19"/>
    <mergeCell ref="F21:F22"/>
    <mergeCell ref="P21:Q22"/>
    <mergeCell ref="I21:M21"/>
    <mergeCell ref="B17:P17"/>
    <mergeCell ref="P45:Q45"/>
    <mergeCell ref="B47:E47"/>
    <mergeCell ref="P47:Q47"/>
    <mergeCell ref="P41:Q41"/>
    <mergeCell ref="C44:E44"/>
    <mergeCell ref="C46:E46"/>
    <mergeCell ref="P44:Q44"/>
  </mergeCells>
  <printOptions/>
  <pageMargins left="0.52" right="0.21" top="0.26" bottom="0.29" header="0.19" footer="0.29"/>
  <pageSetup fitToHeight="2" fitToWidth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u250705</dc:creator>
  <cp:keywords/>
  <dc:description/>
  <cp:lastModifiedBy>FinOperator2</cp:lastModifiedBy>
  <cp:lastPrinted>2019-11-12T13:06:41Z</cp:lastPrinted>
  <dcterms:created xsi:type="dcterms:W3CDTF">2017-11-24T09:48:31Z</dcterms:created>
  <dcterms:modified xsi:type="dcterms:W3CDTF">2019-11-14T06:58:59Z</dcterms:modified>
  <cp:category/>
  <cp:version/>
  <cp:contentType/>
  <cp:contentStatus/>
</cp:coreProperties>
</file>